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605" windowHeight="14655" tabRatio="500" activeTab="1"/>
  </bookViews>
  <sheets>
    <sheet name="Instrukcja" sheetId="2" r:id="rId1"/>
    <sheet name="Analiza" sheetId="1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" i="1" l="1"/>
  <c r="D15" i="1"/>
  <c r="P15" i="1"/>
  <c r="P6" i="1"/>
  <c r="P16" i="1"/>
  <c r="P23" i="1"/>
  <c r="P33" i="1"/>
  <c r="C47" i="1"/>
  <c r="F19" i="1"/>
  <c r="O19" i="1"/>
  <c r="O18" i="1"/>
  <c r="O20" i="1"/>
  <c r="O35" i="1"/>
  <c r="O37" i="1"/>
  <c r="C50" i="1"/>
  <c r="F20" i="1"/>
  <c r="F37" i="1"/>
  <c r="C41" i="1"/>
  <c r="F15" i="1"/>
  <c r="F6" i="1"/>
  <c r="F16" i="1"/>
  <c r="F23" i="1"/>
  <c r="F33" i="1"/>
  <c r="C40" i="1"/>
  <c r="F7" i="1"/>
  <c r="F8" i="1"/>
  <c r="F9" i="1"/>
  <c r="F10" i="1"/>
  <c r="F11" i="1"/>
  <c r="F12" i="1"/>
  <c r="F13" i="1"/>
  <c r="F14" i="1"/>
  <c r="G15" i="1"/>
  <c r="F31" i="1"/>
  <c r="G31" i="1"/>
  <c r="F30" i="1"/>
  <c r="G30" i="1"/>
  <c r="F29" i="1"/>
  <c r="G29" i="1"/>
  <c r="F28" i="1"/>
  <c r="G28" i="1"/>
  <c r="F27" i="1"/>
  <c r="G27" i="1"/>
  <c r="F26" i="1"/>
  <c r="G26" i="1"/>
  <c r="F25" i="1"/>
  <c r="G25" i="1"/>
  <c r="F24" i="1"/>
  <c r="G24" i="1"/>
  <c r="G23" i="1"/>
  <c r="R6" i="1"/>
  <c r="L6" i="1"/>
  <c r="L7" i="1"/>
  <c r="L8" i="1"/>
  <c r="L9" i="1"/>
  <c r="L10" i="1"/>
  <c r="L11" i="1"/>
  <c r="L12" i="1"/>
  <c r="L13" i="1"/>
  <c r="L14" i="1"/>
  <c r="L15" i="1"/>
  <c r="L16" i="1"/>
  <c r="R23" i="1"/>
  <c r="L23" i="1"/>
  <c r="L33" i="1"/>
  <c r="C43" i="1"/>
  <c r="G14" i="1"/>
  <c r="G13" i="1"/>
  <c r="G12" i="1"/>
  <c r="G11" i="1"/>
  <c r="G10" i="1"/>
  <c r="G9" i="1"/>
  <c r="G8" i="1"/>
  <c r="G7" i="1"/>
  <c r="G6" i="1"/>
  <c r="Q23" i="1"/>
  <c r="Q24" i="1"/>
  <c r="Q25" i="1"/>
  <c r="Q26" i="1"/>
  <c r="Q27" i="1"/>
  <c r="Q28" i="1"/>
  <c r="Q29" i="1"/>
  <c r="Q30" i="1"/>
  <c r="Q31" i="1"/>
  <c r="Q33" i="1"/>
  <c r="Q6" i="1"/>
  <c r="J7" i="1"/>
  <c r="Q7" i="1"/>
  <c r="Q8" i="1"/>
  <c r="Q9" i="1"/>
  <c r="Q10" i="1"/>
  <c r="Q11" i="1"/>
  <c r="Q12" i="1"/>
  <c r="Q13" i="1"/>
  <c r="Q14" i="1"/>
  <c r="R15" i="1"/>
  <c r="J15" i="1"/>
  <c r="K15" i="1"/>
  <c r="Q15" i="1"/>
  <c r="Q16" i="1"/>
  <c r="C48" i="1"/>
  <c r="P24" i="1"/>
  <c r="P25" i="1"/>
  <c r="P26" i="1"/>
  <c r="P27" i="1"/>
  <c r="P28" i="1"/>
  <c r="P29" i="1"/>
  <c r="P30" i="1"/>
  <c r="P31" i="1"/>
  <c r="P7" i="1"/>
  <c r="P8" i="1"/>
  <c r="P9" i="1"/>
  <c r="P10" i="1"/>
  <c r="P11" i="1"/>
  <c r="P12" i="1"/>
  <c r="P13" i="1"/>
  <c r="P14" i="1"/>
  <c r="O23" i="1"/>
  <c r="O24" i="1"/>
  <c r="O25" i="1"/>
  <c r="O26" i="1"/>
  <c r="O27" i="1"/>
  <c r="O28" i="1"/>
  <c r="O29" i="1"/>
  <c r="O30" i="1"/>
  <c r="O31" i="1"/>
  <c r="O33" i="1"/>
  <c r="O6" i="1"/>
  <c r="O7" i="1"/>
  <c r="O8" i="1"/>
  <c r="O9" i="1"/>
  <c r="O10" i="1"/>
  <c r="O11" i="1"/>
  <c r="O12" i="1"/>
  <c r="O13" i="1"/>
  <c r="O14" i="1"/>
  <c r="O15" i="1"/>
  <c r="O16" i="1"/>
  <c r="C46" i="1"/>
  <c r="N23" i="1"/>
  <c r="N24" i="1"/>
  <c r="N25" i="1"/>
  <c r="N26" i="1"/>
  <c r="N27" i="1"/>
  <c r="N28" i="1"/>
  <c r="N29" i="1"/>
  <c r="N30" i="1"/>
  <c r="N31" i="1"/>
  <c r="N33" i="1"/>
  <c r="N6" i="1"/>
  <c r="N7" i="1"/>
  <c r="N8" i="1"/>
  <c r="N9" i="1"/>
  <c r="N10" i="1"/>
  <c r="N11" i="1"/>
  <c r="N12" i="1"/>
  <c r="N13" i="1"/>
  <c r="N14" i="1"/>
  <c r="N15" i="1"/>
  <c r="N16" i="1"/>
  <c r="C45" i="1"/>
  <c r="M23" i="1"/>
  <c r="M24" i="1"/>
  <c r="M25" i="1"/>
  <c r="M26" i="1"/>
  <c r="M27" i="1"/>
  <c r="M28" i="1"/>
  <c r="M29" i="1"/>
  <c r="M30" i="1"/>
  <c r="M31" i="1"/>
  <c r="M33" i="1"/>
  <c r="M6" i="1"/>
  <c r="M7" i="1"/>
  <c r="M8" i="1"/>
  <c r="M9" i="1"/>
  <c r="M10" i="1"/>
  <c r="M11" i="1"/>
  <c r="M12" i="1"/>
  <c r="M13" i="1"/>
  <c r="M14" i="1"/>
  <c r="M15" i="1"/>
  <c r="M16" i="1"/>
  <c r="C44" i="1"/>
  <c r="L24" i="1"/>
  <c r="L25" i="1"/>
  <c r="L26" i="1"/>
  <c r="L27" i="1"/>
  <c r="L28" i="1"/>
  <c r="L29" i="1"/>
  <c r="L30" i="1"/>
  <c r="L31" i="1"/>
  <c r="I15" i="1"/>
  <c r="C33" i="1"/>
  <c r="C16" i="1"/>
  <c r="A63" i="1"/>
  <c r="R24" i="1"/>
  <c r="J24" i="1"/>
  <c r="A64" i="1"/>
  <c r="A65" i="1"/>
  <c r="G63" i="1"/>
  <c r="K63" i="1"/>
  <c r="G64" i="1"/>
  <c r="K64" i="1"/>
  <c r="G65" i="1"/>
  <c r="K65" i="1"/>
  <c r="A66" i="1"/>
  <c r="G66" i="1"/>
  <c r="K66" i="1"/>
  <c r="A67" i="1"/>
  <c r="G67" i="1"/>
  <c r="K67" i="1"/>
  <c r="A68" i="1"/>
  <c r="G68" i="1"/>
  <c r="K68" i="1"/>
  <c r="A69" i="1"/>
  <c r="G69" i="1"/>
  <c r="K69" i="1"/>
  <c r="A70" i="1"/>
  <c r="G70" i="1"/>
  <c r="K70" i="1"/>
  <c r="A71" i="1"/>
  <c r="G71" i="1"/>
  <c r="K71" i="1"/>
  <c r="A72" i="1"/>
  <c r="K72" i="1"/>
  <c r="A73" i="1"/>
  <c r="K73" i="1"/>
  <c r="A74" i="1"/>
  <c r="K74" i="1"/>
  <c r="A75" i="1"/>
  <c r="G75" i="1"/>
  <c r="A76" i="1"/>
  <c r="G76" i="1"/>
  <c r="A77" i="1"/>
  <c r="G77" i="1"/>
  <c r="A78" i="1"/>
  <c r="G78" i="1"/>
  <c r="A79" i="1"/>
  <c r="G79" i="1"/>
  <c r="A80" i="1"/>
  <c r="A81" i="1"/>
  <c r="A82" i="1"/>
  <c r="G82" i="1"/>
  <c r="A83" i="1"/>
  <c r="G83" i="1"/>
  <c r="R25" i="1"/>
  <c r="R26" i="1"/>
  <c r="R27" i="1"/>
  <c r="R28" i="1"/>
  <c r="R29" i="1"/>
  <c r="R30" i="1"/>
  <c r="R31" i="1"/>
  <c r="R7" i="1"/>
  <c r="R8" i="1"/>
  <c r="R9" i="1"/>
  <c r="R10" i="1"/>
  <c r="R11" i="1"/>
  <c r="R12" i="1"/>
  <c r="R13" i="1"/>
  <c r="R14" i="1"/>
  <c r="G19" i="1"/>
  <c r="E15" i="1"/>
  <c r="H15" i="1"/>
</calcChain>
</file>

<file path=xl/sharedStrings.xml><?xml version="1.0" encoding="utf-8"?>
<sst xmlns="http://schemas.openxmlformats.org/spreadsheetml/2006/main" count="215" uniqueCount="90">
  <si>
    <t>Węgiel kamienny</t>
  </si>
  <si>
    <t>Rodzaj paliwa</t>
  </si>
  <si>
    <t>Rodzaj rusztu</t>
  </si>
  <si>
    <t>Ruszt stały</t>
  </si>
  <si>
    <t>Nominalna moc cieplna kotła [MW]</t>
  </si>
  <si>
    <t>Rodzaj ciągu</t>
  </si>
  <si>
    <t>≤ 0,5</t>
  </si>
  <si>
    <t>Tlenki azotu (NOx/NO2)</t>
  </si>
  <si>
    <t>Tlenki siarki (SOx/SO2)</t>
  </si>
  <si>
    <t>Tlenek węgla (CO)</t>
  </si>
  <si>
    <t>Dwutlenek węgla  (CO2)</t>
  </si>
  <si>
    <t>Pył zawieszony całkowity</t>
  </si>
  <si>
    <t>Benzo(a)piren</t>
  </si>
  <si>
    <t>&gt; 0,5 ÷ ≤ 5</t>
  </si>
  <si>
    <t>Ciąg naturalny</t>
  </si>
  <si>
    <t>Ciąg sztuczny</t>
  </si>
  <si>
    <t>Koks</t>
  </si>
  <si>
    <t>Drewno</t>
  </si>
  <si>
    <t>≤ 1,0</t>
  </si>
  <si>
    <t>&gt; 1,0 ÷ ≤ 5</t>
  </si>
  <si>
    <t>≤ 5</t>
  </si>
  <si>
    <t>Lekki olej opałowy</t>
  </si>
  <si>
    <t>Ciężki olej opałowy</t>
  </si>
  <si>
    <t>Olej napędowy</t>
  </si>
  <si>
    <t>g/Mg</t>
  </si>
  <si>
    <t>g/m3</t>
  </si>
  <si>
    <t>Gaz ziemny</t>
  </si>
  <si>
    <t>Gaz płynny propan</t>
  </si>
  <si>
    <t>Gaz płynny propan-butan (LPG)</t>
  </si>
  <si>
    <t>Nie dotyczy</t>
  </si>
  <si>
    <r>
      <t>Nominalna moc cieplna kotła</t>
    </r>
    <r>
      <rPr>
        <i/>
        <sz val="12"/>
        <color theme="1"/>
        <rFont val="Calibri"/>
        <scheme val="minor"/>
      </rPr>
      <t xml:space="preserve"> 
[MW]</t>
    </r>
  </si>
  <si>
    <t>Ruszt mechaniczny</t>
  </si>
  <si>
    <t>Nominalna moc cieplna kotła 
[MW]</t>
  </si>
  <si>
    <r>
      <t xml:space="preserve">Zawartość popiołu 
</t>
    </r>
    <r>
      <rPr>
        <i/>
        <sz val="12"/>
        <color theme="1"/>
        <rFont val="Calibri"/>
        <scheme val="minor"/>
      </rPr>
      <t>[%]</t>
    </r>
  </si>
  <si>
    <r>
      <t xml:space="preserve">Zawartość siarki całkowitej 
</t>
    </r>
    <r>
      <rPr>
        <i/>
        <sz val="12"/>
        <color theme="1"/>
        <rFont val="Calibri"/>
        <scheme val="minor"/>
      </rPr>
      <t>[%]</t>
    </r>
  </si>
  <si>
    <t>Stan przed realizacją projektu</t>
  </si>
  <si>
    <t>Lp.</t>
  </si>
  <si>
    <t>Energia cieplna</t>
  </si>
  <si>
    <t>Energia elektryczna</t>
  </si>
  <si>
    <t>Mg/rok</t>
  </si>
  <si>
    <t>m3/rok</t>
  </si>
  <si>
    <t>MWh/rok</t>
  </si>
  <si>
    <t>Zapotrzebowanie na energię elektryczną z Krajowego Systemu Elektroenergetycznego (KSE)</t>
  </si>
  <si>
    <t>Stan po realizacji projektu</t>
  </si>
  <si>
    <t>Łącznie</t>
  </si>
  <si>
    <t xml:space="preserve">Dane z dokumentu: "Wskaźniki emisji zanieczyszczeń ze spalania paliw - kotły o nominalnej mocy cieplnej do 5 MW". KOBiZE, Warszawa, styczeń 2015 </t>
  </si>
  <si>
    <t>Ekwiwalent nowego źródła energii elektrycznej</t>
  </si>
  <si>
    <t>Ekwiwalent nowego źródła energii cieplnej (w przypadku nowej inwestycji): kotłownia węglowa o sprawności 88%</t>
  </si>
  <si>
    <t>Produkcja energii elektrycznej z odnawialnych źródeł energii</t>
  </si>
  <si>
    <t>Analiza kryteriów wyboru projektów</t>
  </si>
  <si>
    <t>Poziom uzysku efektywności energetycznej cieplnej</t>
  </si>
  <si>
    <t>Poziom uzysku efektywności energetycznej elektrycznej</t>
  </si>
  <si>
    <t>Produkcja energii cieplnej:</t>
  </si>
  <si>
    <t>Redukcja tlenku węgla (CO)</t>
  </si>
  <si>
    <t>Redukcja pyłów zawieszonych całkowitych</t>
  </si>
  <si>
    <t>Redukcja benzo(a)pirenu</t>
  </si>
  <si>
    <t>Produkcja energii elektrycznej:</t>
  </si>
  <si>
    <t>I</t>
  </si>
  <si>
    <t>II</t>
  </si>
  <si>
    <t>Czy przed realizacją projektu produkowano / pozyskiwano energię elektryczną lub cieplną?</t>
  </si>
  <si>
    <t>Tlenki siarki (SOx/SO2)
[g]</t>
  </si>
  <si>
    <t>Tlenki azotu (NOx/NO2)
[g]</t>
  </si>
  <si>
    <t>Tlenek węgla (CO)
[g]</t>
  </si>
  <si>
    <t>Dwutlenek węgla  (CO2)
[g]</t>
  </si>
  <si>
    <t>Pył zawieszony całkowity
[g]</t>
  </si>
  <si>
    <t>Benzo(a)piren
[g]</t>
  </si>
  <si>
    <r>
      <t>E</t>
    </r>
    <r>
      <rPr>
        <i/>
        <sz val="8"/>
        <color theme="1"/>
        <rFont val="Calibri (Body)"/>
      </rPr>
      <t>c</t>
    </r>
  </si>
  <si>
    <r>
      <t>E</t>
    </r>
    <r>
      <rPr>
        <i/>
        <sz val="8"/>
        <color theme="1"/>
        <rFont val="Calibri (Body)"/>
      </rPr>
      <t>e</t>
    </r>
  </si>
  <si>
    <r>
      <t>E</t>
    </r>
    <r>
      <rPr>
        <i/>
        <sz val="8"/>
        <color theme="1"/>
        <rFont val="Calibri (Body)"/>
      </rPr>
      <t>oze</t>
    </r>
  </si>
  <si>
    <t>Moc odnawialnych źródeł energii cieplnej</t>
  </si>
  <si>
    <t>Instrukcja korzystania z arkusza</t>
  </si>
  <si>
    <t>Wyliczenia bazują na zbilansowaniu mocy i produkcji / pozyskiwania energii przed i po projekcie, dlatego wielkości mocy i produkcji przed i po projekcie powinny być równe, chyba że osiągnięto wzrost efektywności energetycznej (wymagany przy kogeneracji na poziomie 10% lub 30% w przypadku budowy lub modernizacji źródeł energii).</t>
  </si>
  <si>
    <t xml:space="preserve">Wypełnianie arkusza zaczynamy od wskazania, czy przed realizacją projektu produkowano bądź pozyskiwano energię. W większości przypadków należy wpisać TAK (produkowano energię). Odpowiedź NIE jest możliwa w przypadku nowego zapotrzebowania i nowych źródeł energii lub w przypadku trudności w rozdzieleniu energii objętej projektem i innym przeznaczeniem (taka sytuacja wystąpi np. w przypadku solarów, gdzie problematyczne byłoby oddzielenie energii niezbędnej do podgrzania wody od energii niezbędnej do ogrzania budynków).  </t>
  </si>
  <si>
    <t xml:space="preserve"> – </t>
  </si>
  <si>
    <t>Arkusz służy do wyliczenia uzysku energetycznego i spadku emisji zanieczyszczeń do atmosfery. Arkusz wykorzystuje dane Krajowego Ośrodka Bilansowania i Zarządzania Emisjami (KOBiZE) zawarte w raporcie: "Wskaźniki emisji zanieczyszczeń ze spalania paliw - kotły o nominalnej mocy cieplnej do 5 MW" ze stycznia 2015 roku</t>
  </si>
  <si>
    <t>W przypadku budowy nowego źródła energii elektrycznej dla potrzeb nowego odbiornika energii w wariancie przed realizacją projektu przyjęto zapotrzebowanie na energię na poziomie zapotrzebowania na energię odnawialną po realizacji projektu, natomiast emisję wyliczono analogicznie jak w punkcie powyżej. Wyliczenia w pozycji "Ekwiwalent nowego źródła energii elektrycznej" pojawią się zatem w przypadku zaznaczenia w polu C3 odpowiedzi NIE oraz wpisaniu po realizacji projektu w pozycji "Produkcja energii elektrycznej z odnawialnych źródeł energii" wartości większej od zera.</t>
  </si>
  <si>
    <t>W następnym kroku należy analogicznie opisać stan po realizacji projektu, który różni się wskazaniem mocy (MW) źródeł odnawialnych produkujących energię cieplną w pozycji "Moc odnawialnych źródeł energii cieplnej" oraz produkcji energii elektrycznej ze źródeł odnawialnych (MWh/rok) w pozycji "Produkcja energii elektrycznej z odnawialnych źródeł energii".</t>
  </si>
  <si>
    <r>
      <t>Redukcja tlenków siarki (SO</t>
    </r>
    <r>
      <rPr>
        <sz val="8"/>
        <color theme="1"/>
        <rFont val="Calibri (Body)"/>
      </rPr>
      <t>x</t>
    </r>
    <r>
      <rPr>
        <sz val="12"/>
        <color theme="1"/>
        <rFont val="Calibri"/>
        <family val="2"/>
        <scheme val="minor"/>
      </rPr>
      <t>/SO</t>
    </r>
    <r>
      <rPr>
        <sz val="8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)</t>
    </r>
  </si>
  <si>
    <r>
      <t>Redukcja tlenków azotu (NO</t>
    </r>
    <r>
      <rPr>
        <sz val="8"/>
        <color theme="1"/>
        <rFont val="Calibri (Body)"/>
      </rPr>
      <t>x</t>
    </r>
    <r>
      <rPr>
        <sz val="12"/>
        <color theme="1"/>
        <rFont val="Calibri"/>
        <family val="2"/>
        <scheme val="minor"/>
      </rPr>
      <t>/NO</t>
    </r>
    <r>
      <rPr>
        <sz val="8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)</t>
    </r>
  </si>
  <si>
    <r>
      <t>Redukcja dwutlenku węgla (CO</t>
    </r>
    <r>
      <rPr>
        <sz val="8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)</t>
    </r>
  </si>
  <si>
    <t xml:space="preserve">W ostatniej części arkusza "Analiza kryteriów wyboru projektów" można zweryfikować poziom uzysku efektywności energetycznej cieplnej i energetycznej uzyskany dzięki realizacji projektu, a także poziom redukcji emisji gazów i pyłów [%]. </t>
  </si>
  <si>
    <t>W przypadku budowy nowego źródła energii cieplnej dla potrzeb nowego odbiornika energii w wariancie przed realizacją projektu przyjęto spalanie węgla kamiennego (zużycie energii chemicznej zawartej w węglu kamiennym) w nowym źródle ciepła o referencyjnej sprawności 88%, co oznacza, że gdyby nie zostało wybudowane źródło ciepła objęte wnioskiem o dofinansowanie, należałoby wybudować́ kotłownię węglową. Emisja jest wyliczana automatycznie w pozycji: "Ekwiwalent nowego źródła energii cieplnej (w przypadku nowej inwestycji)" na podstawie mocy źródła energii odnawialnej powstałej w wyniku realizacji projektu.</t>
  </si>
  <si>
    <t>Arkusz opracował na bazie materiałów KOBiZE Korneliusz Pylak (aktualizacja 24 marca 2016 roku)</t>
  </si>
  <si>
    <r>
      <t xml:space="preserve">W arkuszu </t>
    </r>
    <r>
      <rPr>
        <b/>
        <i/>
        <sz val="11"/>
        <color theme="7" tint="-0.499984740745262"/>
        <rFont val="Calibri"/>
        <scheme val="minor"/>
      </rPr>
      <t>należy wypełnić wyłącznie pola białe - pozostałe pola i wyliczenia wypełnią się same</t>
    </r>
    <r>
      <rPr>
        <i/>
        <sz val="11"/>
        <color theme="7" tint="-0.499984740745262"/>
        <rFont val="Calibri"/>
        <scheme val="minor"/>
      </rPr>
      <t>.</t>
    </r>
  </si>
  <si>
    <r>
      <t>Następnie należy określić zapotrzebowanie na energię elektryczną z Krajowego Systemu Elektroenergetycznego (KSE) - jeżeli występuje przed projektem. Zapotrzebowanie należy podać w MWh i odnieść do ostatniego roku przed rokiem złożenia wniosku o dofinansowanie. Emisję zanieczyszczeń w przypadku tej energii ograniczono do dwutlenku węgla na poziomie 0,8315 MgCO</t>
    </r>
    <r>
      <rPr>
        <i/>
        <sz val="7"/>
        <color theme="7" tint="-0.499984740745262"/>
        <rFont val="Calibri (Body)"/>
      </rPr>
      <t>2</t>
    </r>
    <r>
      <rPr>
        <i/>
        <sz val="11"/>
        <color theme="7" tint="-0.499984740745262"/>
        <rFont val="Calibri"/>
        <scheme val="minor"/>
      </rPr>
      <t>/MWh, zgodnie z komunikatem KOBiZE opublikowanym w dniu 22 grudnia 2014 roku.</t>
    </r>
  </si>
  <si>
    <t>Produkcja / pozyskanie energii</t>
  </si>
  <si>
    <t>Zużycie paliwa</t>
  </si>
  <si>
    <t>GJ/rok</t>
  </si>
  <si>
    <t>Następnie określamy moc cieplną wszystkich źródeł energii oraz zużyte paliwo (w tonach lub m3) w ciągu ostatniego roku przed złożeniem wniosku o dofinansowanie. Poszczególne wiersze należy wypełnić tylko w przypadku, jeżeli źródła energii objęte projektem wykorzystywały dany rodzaj paliwa. W przypadku  wskazania mocy i zużycia danego paliwa, należy koniecznie wypełnić pozostałe białe pola w wierszu, aby wyliczenia mogły się dokonać - po zakończeniu wypełniania wiersza, należy sprawdzić, czy wyliczenia emisji poszczególnych zanieczyszczeń się dokonały i czy arkusz nie wskazuje błędu w polach wyliczania emisji gazów i pyłów (kolumny L-Q). W przypadku natrafienia na problem, można zweryfikować możliwe warianty na dole arkusza w tabeli KOBiZE</t>
  </si>
  <si>
    <t>Załącznik nr 4.16  do Instrukcji wypełniania załączników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</si>
</sst>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#,##0.000"/>
    <numFmt numFmtId="166" formatCode="#,##0.0000"/>
    <numFmt numFmtId="167" formatCode="#,##0.000000"/>
    <numFmt numFmtId="168" formatCode="0.0%"/>
  </numFmts>
  <fonts count="3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i/>
      <sz val="12"/>
      <color theme="7" tint="0.39997558519241921"/>
      <name val="Calibri"/>
      <scheme val="minor"/>
    </font>
    <font>
      <sz val="16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6"/>
      <color theme="0"/>
      <name val="Calibri"/>
      <family val="2"/>
      <scheme val="minor"/>
    </font>
    <font>
      <sz val="12"/>
      <color theme="7" tint="-0.499984740745262"/>
      <name val="Calibri"/>
      <family val="2"/>
      <scheme val="minor"/>
    </font>
    <font>
      <i/>
      <sz val="12"/>
      <color theme="7" tint="-0.49998474074526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7" tint="-0.499984740745262"/>
      <name val="Calibri"/>
      <scheme val="minor"/>
    </font>
    <font>
      <b/>
      <i/>
      <sz val="12"/>
      <color theme="7" tint="0.39997558519241921"/>
      <name val="Calibri"/>
      <scheme val="minor"/>
    </font>
    <font>
      <i/>
      <sz val="12"/>
      <color theme="7" tint="0.79998168889431442"/>
      <name val="Calibri"/>
      <family val="2"/>
      <scheme val="minor"/>
    </font>
    <font>
      <sz val="12"/>
      <color theme="7" tint="-0.249977111117893"/>
      <name val="Calibri"/>
      <family val="2"/>
      <scheme val="minor"/>
    </font>
    <font>
      <b/>
      <sz val="12"/>
      <color theme="7" tint="-0.249977111117893"/>
      <name val="Calibri"/>
      <scheme val="minor"/>
    </font>
    <font>
      <i/>
      <sz val="10"/>
      <color theme="1"/>
      <name val="Calibri"/>
      <scheme val="minor"/>
    </font>
    <font>
      <b/>
      <sz val="10"/>
      <color theme="1"/>
      <name val="Calibri"/>
      <scheme val="minor"/>
    </font>
    <font>
      <b/>
      <sz val="14"/>
      <color theme="1"/>
      <name val="Calibri"/>
      <family val="2"/>
      <scheme val="minor"/>
    </font>
    <font>
      <i/>
      <sz val="14"/>
      <name val="Calibri"/>
      <family val="2"/>
      <scheme val="minor"/>
    </font>
    <font>
      <i/>
      <sz val="14"/>
      <color theme="7" tint="0.39997558519241921"/>
      <name val="Calibri"/>
      <family val="2"/>
      <scheme val="minor"/>
    </font>
    <font>
      <sz val="8"/>
      <color theme="1"/>
      <name val="Calibri (Body)"/>
    </font>
    <font>
      <i/>
      <sz val="14"/>
      <color theme="1"/>
      <name val="Calibri"/>
      <family val="2"/>
      <scheme val="minor"/>
    </font>
    <font>
      <i/>
      <sz val="8"/>
      <color theme="1"/>
      <name val="Calibri (Body)"/>
    </font>
    <font>
      <i/>
      <sz val="10"/>
      <color theme="7" tint="-0.249977111117893"/>
      <name val="Calibri"/>
      <scheme val="minor"/>
    </font>
    <font>
      <b/>
      <sz val="14"/>
      <color theme="7" tint="-0.499984740745262"/>
      <name val="Calibri"/>
      <family val="2"/>
      <scheme val="minor"/>
    </font>
    <font>
      <i/>
      <sz val="14"/>
      <color theme="7" tint="-0.499984740745262"/>
      <name val="Calibri"/>
      <family val="2"/>
      <scheme val="minor"/>
    </font>
    <font>
      <i/>
      <sz val="11"/>
      <color theme="7" tint="-0.499984740745262"/>
      <name val="Calibri"/>
      <scheme val="minor"/>
    </font>
    <font>
      <b/>
      <i/>
      <sz val="11"/>
      <color theme="7" tint="-0.499984740745262"/>
      <name val="Calibri"/>
      <scheme val="minor"/>
    </font>
    <font>
      <i/>
      <sz val="7"/>
      <color theme="7" tint="-0.499984740745262"/>
      <name val="Calibri (Body)"/>
    </font>
    <font>
      <i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5">
    <xf numFmtId="0" fontId="0" fillId="0" borderId="0" xfId="0"/>
    <xf numFmtId="0" fontId="2" fillId="4" borderId="0" xfId="0" applyFont="1" applyFill="1" applyAlignment="1">
      <alignment vertical="top"/>
    </xf>
    <xf numFmtId="0" fontId="0" fillId="4" borderId="0" xfId="0" applyFill="1" applyAlignment="1">
      <alignment vertical="top"/>
    </xf>
    <xf numFmtId="3" fontId="0" fillId="4" borderId="0" xfId="0" applyNumberFormat="1" applyFill="1" applyAlignment="1">
      <alignment vertical="top"/>
    </xf>
    <xf numFmtId="0" fontId="0" fillId="4" borderId="0" xfId="0" applyFill="1" applyAlignment="1">
      <alignment horizontal="left" vertical="top"/>
    </xf>
    <xf numFmtId="0" fontId="0" fillId="4" borderId="0" xfId="0" applyFill="1" applyAlignment="1">
      <alignment horizontal="center" vertical="top"/>
    </xf>
    <xf numFmtId="0" fontId="4" fillId="4" borderId="0" xfId="0" applyFont="1" applyFill="1" applyAlignment="1">
      <alignment vertical="top"/>
    </xf>
    <xf numFmtId="0" fontId="0" fillId="4" borderId="0" xfId="0" applyFill="1" applyBorder="1" applyAlignment="1">
      <alignment horizontal="left" vertical="top"/>
    </xf>
    <xf numFmtId="0" fontId="5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left" vertical="center"/>
    </xf>
    <xf numFmtId="3" fontId="5" fillId="5" borderId="1" xfId="0" applyNumberFormat="1" applyFont="1" applyFill="1" applyBorder="1" applyAlignment="1">
      <alignment vertical="center"/>
    </xf>
    <xf numFmtId="0" fontId="7" fillId="5" borderId="1" xfId="0" applyFont="1" applyFill="1" applyBorder="1" applyAlignment="1">
      <alignment vertical="center"/>
    </xf>
    <xf numFmtId="3" fontId="0" fillId="4" borderId="0" xfId="0" applyNumberFormat="1" applyFill="1" applyBorder="1" applyAlignment="1">
      <alignment vertical="top"/>
    </xf>
    <xf numFmtId="2" fontId="0" fillId="6" borderId="5" xfId="0" applyNumberFormat="1" applyFill="1" applyBorder="1" applyAlignment="1">
      <alignment vertical="top"/>
    </xf>
    <xf numFmtId="2" fontId="0" fillId="6" borderId="6" xfId="0" applyNumberFormat="1" applyFill="1" applyBorder="1" applyAlignment="1">
      <alignment vertical="top"/>
    </xf>
    <xf numFmtId="9" fontId="0" fillId="6" borderId="5" xfId="1" applyFont="1" applyFill="1" applyBorder="1" applyAlignment="1">
      <alignment vertical="top"/>
    </xf>
    <xf numFmtId="9" fontId="0" fillId="6" borderId="6" xfId="1" applyFont="1" applyFill="1" applyBorder="1" applyAlignment="1">
      <alignment vertical="top"/>
    </xf>
    <xf numFmtId="9" fontId="0" fillId="6" borderId="7" xfId="1" applyFont="1" applyFill="1" applyBorder="1" applyAlignment="1">
      <alignment vertical="top"/>
    </xf>
    <xf numFmtId="3" fontId="8" fillId="2" borderId="9" xfId="0" applyNumberFormat="1" applyFont="1" applyFill="1" applyBorder="1" applyAlignment="1">
      <alignment vertical="top"/>
    </xf>
    <xf numFmtId="3" fontId="8" fillId="2" borderId="3" xfId="0" applyNumberFormat="1" applyFont="1" applyFill="1" applyBorder="1" applyAlignment="1">
      <alignment vertical="top"/>
    </xf>
    <xf numFmtId="3" fontId="8" fillId="2" borderId="11" xfId="0" applyNumberFormat="1" applyFont="1" applyFill="1" applyBorder="1" applyAlignment="1">
      <alignment vertical="top"/>
    </xf>
    <xf numFmtId="3" fontId="8" fillId="2" borderId="12" xfId="0" applyNumberFormat="1" applyFont="1" applyFill="1" applyBorder="1" applyAlignment="1">
      <alignment vertical="top"/>
    </xf>
    <xf numFmtId="3" fontId="8" fillId="2" borderId="0" xfId="0" applyNumberFormat="1" applyFont="1" applyFill="1" applyBorder="1" applyAlignment="1">
      <alignment vertical="top"/>
    </xf>
    <xf numFmtId="3" fontId="8" fillId="2" borderId="13" xfId="0" applyNumberFormat="1" applyFont="1" applyFill="1" applyBorder="1" applyAlignment="1">
      <alignment vertical="top"/>
    </xf>
    <xf numFmtId="9" fontId="0" fillId="6" borderId="11" xfId="1" applyFont="1" applyFill="1" applyBorder="1" applyAlignment="1">
      <alignment vertical="top"/>
    </xf>
    <xf numFmtId="9" fontId="0" fillId="6" borderId="13" xfId="1" applyFont="1" applyFill="1" applyBorder="1" applyAlignment="1">
      <alignment vertical="top"/>
    </xf>
    <xf numFmtId="9" fontId="0" fillId="6" borderId="14" xfId="1" applyFont="1" applyFill="1" applyBorder="1" applyAlignment="1">
      <alignment vertical="top"/>
    </xf>
    <xf numFmtId="0" fontId="10" fillId="4" borderId="11" xfId="0" applyFont="1" applyFill="1" applyBorder="1" applyAlignment="1">
      <alignment horizontal="center" vertical="top"/>
    </xf>
    <xf numFmtId="0" fontId="10" fillId="4" borderId="13" xfId="0" applyFont="1" applyFill="1" applyBorder="1" applyAlignment="1">
      <alignment horizontal="center" vertical="top"/>
    </xf>
    <xf numFmtId="0" fontId="0" fillId="4" borderId="0" xfId="0" applyFill="1" applyAlignment="1">
      <alignment vertical="top" wrapText="1"/>
    </xf>
    <xf numFmtId="0" fontId="2" fillId="2" borderId="9" xfId="0" applyFont="1" applyFill="1" applyBorder="1" applyAlignment="1">
      <alignment vertical="top"/>
    </xf>
    <xf numFmtId="0" fontId="4" fillId="2" borderId="12" xfId="0" applyFont="1" applyFill="1" applyBorder="1" applyAlignment="1">
      <alignment vertical="top"/>
    </xf>
    <xf numFmtId="0" fontId="4" fillId="2" borderId="10" xfId="0" applyFont="1" applyFill="1" applyBorder="1" applyAlignment="1">
      <alignment vertical="top"/>
    </xf>
    <xf numFmtId="164" fontId="0" fillId="6" borderId="9" xfId="0" applyNumberFormat="1" applyFill="1" applyBorder="1" applyAlignment="1">
      <alignment vertical="top"/>
    </xf>
    <xf numFmtId="164" fontId="0" fillId="6" borderId="12" xfId="0" applyNumberFormat="1" applyFill="1" applyBorder="1" applyAlignment="1">
      <alignment vertical="top"/>
    </xf>
    <xf numFmtId="3" fontId="11" fillId="2" borderId="2" xfId="0" applyNumberFormat="1" applyFont="1" applyFill="1" applyBorder="1" applyAlignment="1">
      <alignment vertical="top"/>
    </xf>
    <xf numFmtId="3" fontId="11" fillId="2" borderId="0" xfId="0" applyNumberFormat="1" applyFont="1" applyFill="1" applyBorder="1" applyAlignment="1">
      <alignment vertical="top"/>
    </xf>
    <xf numFmtId="0" fontId="2" fillId="4" borderId="1" xfId="0" applyFont="1" applyFill="1" applyBorder="1" applyAlignment="1">
      <alignment vertical="top"/>
    </xf>
    <xf numFmtId="3" fontId="11" fillId="2" borderId="1" xfId="0" applyNumberFormat="1" applyFont="1" applyFill="1" applyBorder="1" applyAlignment="1">
      <alignment vertical="top"/>
    </xf>
    <xf numFmtId="0" fontId="12" fillId="4" borderId="1" xfId="0" applyFont="1" applyFill="1" applyBorder="1" applyAlignment="1">
      <alignment vertical="top"/>
    </xf>
    <xf numFmtId="3" fontId="11" fillId="2" borderId="8" xfId="0" applyNumberFormat="1" applyFont="1" applyFill="1" applyBorder="1" applyAlignment="1">
      <alignment vertical="top"/>
    </xf>
    <xf numFmtId="3" fontId="11" fillId="2" borderId="15" xfId="0" applyNumberFormat="1" applyFont="1" applyFill="1" applyBorder="1" applyAlignment="1">
      <alignment vertical="top"/>
    </xf>
    <xf numFmtId="3" fontId="11" fillId="2" borderId="10" xfId="0" applyNumberFormat="1" applyFont="1" applyFill="1" applyBorder="1" applyAlignment="1">
      <alignment vertical="top"/>
    </xf>
    <xf numFmtId="3" fontId="11" fillId="2" borderId="14" xfId="0" applyNumberFormat="1" applyFont="1" applyFill="1" applyBorder="1" applyAlignment="1">
      <alignment vertical="top"/>
    </xf>
    <xf numFmtId="164" fontId="2" fillId="6" borderId="10" xfId="0" applyNumberFormat="1" applyFont="1" applyFill="1" applyBorder="1" applyAlignment="1">
      <alignment vertical="top"/>
    </xf>
    <xf numFmtId="0" fontId="5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vertical="center"/>
    </xf>
    <xf numFmtId="0" fontId="5" fillId="7" borderId="1" xfId="0" applyFont="1" applyFill="1" applyBorder="1" applyAlignment="1">
      <alignment vertical="center"/>
    </xf>
    <xf numFmtId="0" fontId="5" fillId="7" borderId="1" xfId="0" applyFont="1" applyFill="1" applyBorder="1" applyAlignment="1">
      <alignment horizontal="left" vertical="center"/>
    </xf>
    <xf numFmtId="3" fontId="5" fillId="7" borderId="1" xfId="0" applyNumberFormat="1" applyFont="1" applyFill="1" applyBorder="1" applyAlignment="1">
      <alignment vertical="center"/>
    </xf>
    <xf numFmtId="0" fontId="7" fillId="7" borderId="1" xfId="0" applyFont="1" applyFill="1" applyBorder="1" applyAlignment="1">
      <alignment vertical="center"/>
    </xf>
    <xf numFmtId="0" fontId="2" fillId="5" borderId="0" xfId="0" applyFont="1" applyFill="1" applyAlignment="1">
      <alignment vertical="top" wrapText="1"/>
    </xf>
    <xf numFmtId="3" fontId="13" fillId="5" borderId="8" xfId="0" applyNumberFormat="1" applyFont="1" applyFill="1" applyBorder="1" applyAlignment="1">
      <alignment horizontal="center" vertical="top" wrapText="1"/>
    </xf>
    <xf numFmtId="3" fontId="13" fillId="5" borderId="1" xfId="0" applyNumberFormat="1" applyFont="1" applyFill="1" applyBorder="1" applyAlignment="1">
      <alignment horizontal="center" vertical="top" wrapText="1"/>
    </xf>
    <xf numFmtId="0" fontId="13" fillId="5" borderId="15" xfId="0" applyFont="1" applyFill="1" applyBorder="1" applyAlignment="1">
      <alignment horizontal="center" vertical="top" wrapText="1"/>
    </xf>
    <xf numFmtId="0" fontId="9" fillId="5" borderId="0" xfId="0" applyFont="1" applyFill="1" applyAlignment="1">
      <alignment horizontal="center" vertical="top" wrapText="1"/>
    </xf>
    <xf numFmtId="0" fontId="15" fillId="2" borderId="3" xfId="0" applyFont="1" applyFill="1" applyBorder="1" applyAlignment="1">
      <alignment vertical="top"/>
    </xf>
    <xf numFmtId="0" fontId="15" fillId="2" borderId="3" xfId="0" applyFont="1" applyFill="1" applyBorder="1" applyAlignment="1">
      <alignment horizontal="center" vertical="top"/>
    </xf>
    <xf numFmtId="0" fontId="15" fillId="2" borderId="3" xfId="0" applyFont="1" applyFill="1" applyBorder="1" applyAlignment="1">
      <alignment horizontal="left" vertical="top"/>
    </xf>
    <xf numFmtId="3" fontId="15" fillId="2" borderId="3" xfId="0" applyNumberFormat="1" applyFont="1" applyFill="1" applyBorder="1" applyAlignment="1">
      <alignment vertical="top"/>
    </xf>
    <xf numFmtId="3" fontId="15" fillId="2" borderId="11" xfId="0" applyNumberFormat="1" applyFont="1" applyFill="1" applyBorder="1" applyAlignment="1">
      <alignment vertical="top"/>
    </xf>
    <xf numFmtId="0" fontId="14" fillId="2" borderId="0" xfId="0" applyFont="1" applyFill="1" applyBorder="1" applyAlignment="1">
      <alignment vertical="top"/>
    </xf>
    <xf numFmtId="0" fontId="14" fillId="2" borderId="0" xfId="0" applyFont="1" applyFill="1" applyBorder="1" applyAlignment="1">
      <alignment horizontal="center" vertical="top"/>
    </xf>
    <xf numFmtId="0" fontId="14" fillId="2" borderId="0" xfId="0" applyFont="1" applyFill="1" applyBorder="1" applyAlignment="1">
      <alignment horizontal="left" vertical="top"/>
    </xf>
    <xf numFmtId="3" fontId="14" fillId="2" borderId="0" xfId="0" applyNumberFormat="1" applyFont="1" applyFill="1" applyBorder="1" applyAlignment="1">
      <alignment vertical="top"/>
    </xf>
    <xf numFmtId="3" fontId="14" fillId="2" borderId="13" xfId="0" applyNumberFormat="1" applyFont="1" applyFill="1" applyBorder="1" applyAlignment="1">
      <alignment vertical="top"/>
    </xf>
    <xf numFmtId="164" fontId="14" fillId="2" borderId="13" xfId="0" applyNumberFormat="1" applyFont="1" applyFill="1" applyBorder="1" applyAlignment="1">
      <alignment vertical="top"/>
    </xf>
    <xf numFmtId="165" fontId="14" fillId="2" borderId="13" xfId="0" applyNumberFormat="1" applyFont="1" applyFill="1" applyBorder="1" applyAlignment="1">
      <alignment vertical="top"/>
    </xf>
    <xf numFmtId="164" fontId="14" fillId="2" borderId="0" xfId="0" applyNumberFormat="1" applyFont="1" applyFill="1" applyBorder="1" applyAlignment="1">
      <alignment vertical="top"/>
    </xf>
    <xf numFmtId="167" fontId="14" fillId="2" borderId="13" xfId="0" applyNumberFormat="1" applyFont="1" applyFill="1" applyBorder="1" applyAlignment="1">
      <alignment vertical="top"/>
    </xf>
    <xf numFmtId="4" fontId="14" fillId="2" borderId="0" xfId="0" applyNumberFormat="1" applyFont="1" applyFill="1" applyBorder="1" applyAlignment="1">
      <alignment vertical="top"/>
    </xf>
    <xf numFmtId="165" fontId="14" fillId="2" borderId="0" xfId="0" applyNumberFormat="1" applyFont="1" applyFill="1" applyBorder="1" applyAlignment="1">
      <alignment vertical="top"/>
    </xf>
    <xf numFmtId="166" fontId="14" fillId="2" borderId="0" xfId="0" applyNumberFormat="1" applyFont="1" applyFill="1" applyBorder="1" applyAlignment="1">
      <alignment vertical="top"/>
    </xf>
    <xf numFmtId="0" fontId="14" fillId="2" borderId="2" xfId="0" applyFont="1" applyFill="1" applyBorder="1" applyAlignment="1">
      <alignment vertical="top"/>
    </xf>
    <xf numFmtId="0" fontId="14" fillId="2" borderId="2" xfId="0" applyFont="1" applyFill="1" applyBorder="1" applyAlignment="1">
      <alignment horizontal="center" vertical="top"/>
    </xf>
    <xf numFmtId="0" fontId="14" fillId="2" borderId="2" xfId="0" applyFont="1" applyFill="1" applyBorder="1" applyAlignment="1">
      <alignment horizontal="left" vertical="top"/>
    </xf>
    <xf numFmtId="165" fontId="14" fillId="2" borderId="2" xfId="0" applyNumberFormat="1" applyFont="1" applyFill="1" applyBorder="1" applyAlignment="1">
      <alignment vertical="top"/>
    </xf>
    <xf numFmtId="4" fontId="14" fillId="2" borderId="2" xfId="0" applyNumberFormat="1" applyFont="1" applyFill="1" applyBorder="1" applyAlignment="1">
      <alignment vertical="top"/>
    </xf>
    <xf numFmtId="3" fontId="14" fillId="2" borderId="2" xfId="0" applyNumberFormat="1" applyFont="1" applyFill="1" applyBorder="1" applyAlignment="1">
      <alignment vertical="top"/>
    </xf>
    <xf numFmtId="166" fontId="14" fillId="2" borderId="2" xfId="0" applyNumberFormat="1" applyFont="1" applyFill="1" applyBorder="1" applyAlignment="1">
      <alignment vertical="top"/>
    </xf>
    <xf numFmtId="3" fontId="14" fillId="2" borderId="14" xfId="0" applyNumberFormat="1" applyFont="1" applyFill="1" applyBorder="1" applyAlignment="1">
      <alignment vertical="top"/>
    </xf>
    <xf numFmtId="168" fontId="0" fillId="6" borderId="5" xfId="1" applyNumberFormat="1" applyFont="1" applyFill="1" applyBorder="1" applyAlignment="1">
      <alignment vertical="top"/>
    </xf>
    <xf numFmtId="168" fontId="0" fillId="6" borderId="7" xfId="1" applyNumberFormat="1" applyFont="1" applyFill="1" applyBorder="1" applyAlignment="1">
      <alignment vertical="top"/>
    </xf>
    <xf numFmtId="168" fontId="0" fillId="4" borderId="0" xfId="0" applyNumberFormat="1" applyFill="1" applyBorder="1" applyAlignment="1">
      <alignment vertical="top"/>
    </xf>
    <xf numFmtId="168" fontId="0" fillId="6" borderId="6" xfId="1" applyNumberFormat="1" applyFont="1" applyFill="1" applyBorder="1" applyAlignment="1">
      <alignment vertical="top"/>
    </xf>
    <xf numFmtId="168" fontId="0" fillId="4" borderId="0" xfId="0" applyNumberFormat="1" applyFill="1" applyAlignment="1">
      <alignment vertical="top"/>
    </xf>
    <xf numFmtId="0" fontId="0" fillId="6" borderId="7" xfId="0" applyFill="1" applyBorder="1" applyAlignment="1">
      <alignment horizontal="center" vertical="top"/>
    </xf>
    <xf numFmtId="0" fontId="2" fillId="5" borderId="8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center" vertical="top" wrapText="1"/>
    </xf>
    <xf numFmtId="3" fontId="2" fillId="5" borderId="15" xfId="0" applyNumberFormat="1" applyFont="1" applyFill="1" applyBorder="1" applyAlignment="1">
      <alignment horizontal="center" vertical="top" wrapText="1"/>
    </xf>
    <xf numFmtId="2" fontId="2" fillId="6" borderId="4" xfId="0" applyNumberFormat="1" applyFont="1" applyFill="1" applyBorder="1" applyAlignment="1">
      <alignment vertical="top"/>
    </xf>
    <xf numFmtId="3" fontId="11" fillId="2" borderId="12" xfId="0" applyNumberFormat="1" applyFont="1" applyFill="1" applyBorder="1" applyAlignment="1">
      <alignment vertical="top"/>
    </xf>
    <xf numFmtId="3" fontId="11" fillId="2" borderId="13" xfId="0" applyNumberFormat="1" applyFont="1" applyFill="1" applyBorder="1" applyAlignment="1">
      <alignment vertical="top"/>
    </xf>
    <xf numFmtId="0" fontId="2" fillId="2" borderId="15" xfId="0" applyFont="1" applyFill="1" applyBorder="1" applyAlignment="1">
      <alignment vertical="top"/>
    </xf>
    <xf numFmtId="0" fontId="17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/>
    </xf>
    <xf numFmtId="3" fontId="2" fillId="2" borderId="1" xfId="0" applyNumberFormat="1" applyFont="1" applyFill="1" applyBorder="1" applyAlignment="1">
      <alignment horizontal="center" vertical="top"/>
    </xf>
    <xf numFmtId="164" fontId="2" fillId="6" borderId="8" xfId="0" applyNumberFormat="1" applyFont="1" applyFill="1" applyBorder="1" applyAlignment="1">
      <alignment vertical="top"/>
    </xf>
    <xf numFmtId="0" fontId="10" fillId="4" borderId="15" xfId="0" applyFont="1" applyFill="1" applyBorder="1" applyAlignment="1">
      <alignment horizontal="center" vertical="top"/>
    </xf>
    <xf numFmtId="0" fontId="0" fillId="2" borderId="15" xfId="0" applyFill="1" applyBorder="1" applyAlignment="1">
      <alignment horizontal="center" vertical="top"/>
    </xf>
    <xf numFmtId="0" fontId="2" fillId="2" borderId="1" xfId="0" applyFont="1" applyFill="1" applyBorder="1" applyAlignment="1">
      <alignment vertical="top"/>
    </xf>
    <xf numFmtId="0" fontId="10" fillId="2" borderId="14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 wrapText="1"/>
    </xf>
    <xf numFmtId="2" fontId="3" fillId="2" borderId="4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horizontal="right" vertical="top"/>
    </xf>
    <xf numFmtId="0" fontId="16" fillId="2" borderId="15" xfId="0" applyFont="1" applyFill="1" applyBorder="1" applyAlignment="1">
      <alignment horizontal="center" vertical="top"/>
    </xf>
    <xf numFmtId="9" fontId="3" fillId="2" borderId="1" xfId="0" applyNumberFormat="1" applyFont="1" applyFill="1" applyBorder="1" applyAlignment="1">
      <alignment horizontal="right" vertical="top"/>
    </xf>
    <xf numFmtId="168" fontId="3" fillId="2" borderId="1" xfId="1" applyNumberFormat="1" applyFont="1" applyFill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center" vertical="top"/>
    </xf>
    <xf numFmtId="3" fontId="9" fillId="2" borderId="8" xfId="0" applyNumberFormat="1" applyFont="1" applyFill="1" applyBorder="1" applyAlignment="1">
      <alignment vertical="top"/>
    </xf>
    <xf numFmtId="3" fontId="9" fillId="2" borderId="1" xfId="0" applyNumberFormat="1" applyFont="1" applyFill="1" applyBorder="1" applyAlignment="1">
      <alignment vertical="top"/>
    </xf>
    <xf numFmtId="3" fontId="9" fillId="2" borderId="15" xfId="0" applyNumberFormat="1" applyFont="1" applyFill="1" applyBorder="1" applyAlignment="1">
      <alignment vertical="top"/>
    </xf>
    <xf numFmtId="0" fontId="4" fillId="4" borderId="1" xfId="0" applyFont="1" applyFill="1" applyBorder="1" applyAlignment="1">
      <alignment vertical="top"/>
    </xf>
    <xf numFmtId="0" fontId="0" fillId="4" borderId="1" xfId="0" applyFill="1" applyBorder="1" applyAlignment="1">
      <alignment vertical="top"/>
    </xf>
    <xf numFmtId="2" fontId="3" fillId="2" borderId="15" xfId="0" applyNumberFormat="1" applyFont="1" applyFill="1" applyBorder="1" applyAlignment="1">
      <alignment vertical="top"/>
    </xf>
    <xf numFmtId="9" fontId="18" fillId="4" borderId="0" xfId="1" applyFont="1" applyFill="1" applyAlignment="1">
      <alignment horizontal="center" vertical="top"/>
    </xf>
    <xf numFmtId="0" fontId="0" fillId="4" borderId="5" xfId="0" applyFill="1" applyBorder="1" applyAlignment="1">
      <alignment horizontal="center" vertical="top"/>
    </xf>
    <xf numFmtId="0" fontId="0" fillId="4" borderId="5" xfId="0" applyFill="1" applyBorder="1" applyAlignment="1">
      <alignment vertical="top" wrapText="1"/>
    </xf>
    <xf numFmtId="9" fontId="18" fillId="4" borderId="5" xfId="1" applyFont="1" applyFill="1" applyBorder="1" applyAlignment="1">
      <alignment horizontal="center" vertical="top"/>
    </xf>
    <xf numFmtId="0" fontId="0" fillId="4" borderId="7" xfId="0" applyFill="1" applyBorder="1" applyAlignment="1">
      <alignment horizontal="center" vertical="top"/>
    </xf>
    <xf numFmtId="0" fontId="0" fillId="4" borderId="7" xfId="0" applyFill="1" applyBorder="1" applyAlignment="1">
      <alignment vertical="top" wrapText="1"/>
    </xf>
    <xf numFmtId="9" fontId="18" fillId="4" borderId="7" xfId="1" applyFont="1" applyFill="1" applyBorder="1" applyAlignment="1">
      <alignment horizontal="center" vertical="top"/>
    </xf>
    <xf numFmtId="0" fontId="0" fillId="4" borderId="6" xfId="0" applyFill="1" applyBorder="1" applyAlignment="1">
      <alignment horizontal="center" vertical="top"/>
    </xf>
    <xf numFmtId="0" fontId="0" fillId="4" borderId="6" xfId="0" applyFill="1" applyBorder="1" applyAlignment="1">
      <alignment vertical="top"/>
    </xf>
    <xf numFmtId="9" fontId="18" fillId="4" borderId="6" xfId="1" applyFont="1" applyFill="1" applyBorder="1" applyAlignment="1">
      <alignment horizontal="center" vertical="top"/>
    </xf>
    <xf numFmtId="0" fontId="0" fillId="4" borderId="7" xfId="0" applyFill="1" applyBorder="1" applyAlignment="1">
      <alignment vertical="top"/>
    </xf>
    <xf numFmtId="0" fontId="2" fillId="2" borderId="5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vertical="top"/>
    </xf>
    <xf numFmtId="0" fontId="0" fillId="2" borderId="5" xfId="0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/>
    </xf>
    <xf numFmtId="0" fontId="0" fillId="4" borderId="0" xfId="0" applyFill="1"/>
    <xf numFmtId="0" fontId="18" fillId="5" borderId="1" xfId="0" applyFont="1" applyFill="1" applyBorder="1" applyAlignment="1">
      <alignment vertical="center" wrapText="1"/>
    </xf>
    <xf numFmtId="0" fontId="18" fillId="5" borderId="1" xfId="0" applyFont="1" applyFill="1" applyBorder="1" applyAlignment="1">
      <alignment horizontal="center" vertical="center" wrapText="1"/>
    </xf>
    <xf numFmtId="3" fontId="18" fillId="5" borderId="1" xfId="0" applyNumberFormat="1" applyFont="1" applyFill="1" applyBorder="1" applyAlignment="1">
      <alignment horizontal="center" vertical="center" wrapText="1"/>
    </xf>
    <xf numFmtId="3" fontId="19" fillId="5" borderId="1" xfId="0" applyNumberFormat="1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vertical="top"/>
    </xf>
    <xf numFmtId="0" fontId="24" fillId="4" borderId="0" xfId="0" applyFont="1" applyFill="1" applyAlignment="1">
      <alignment horizontal="center" vertical="top"/>
    </xf>
    <xf numFmtId="0" fontId="24" fillId="4" borderId="0" xfId="0" applyFont="1" applyFill="1" applyAlignment="1">
      <alignment horizontal="left" vertical="top"/>
    </xf>
    <xf numFmtId="3" fontId="24" fillId="4" borderId="0" xfId="0" applyNumberFormat="1" applyFont="1" applyFill="1" applyAlignment="1">
      <alignment vertical="top"/>
    </xf>
    <xf numFmtId="0" fontId="25" fillId="3" borderId="8" xfId="0" applyFont="1" applyFill="1" applyBorder="1" applyAlignment="1">
      <alignment vertical="center" wrapText="1"/>
    </xf>
    <xf numFmtId="0" fontId="25" fillId="3" borderId="1" xfId="0" applyFont="1" applyFill="1" applyBorder="1" applyAlignment="1">
      <alignment horizontal="left" vertical="center"/>
    </xf>
    <xf numFmtId="0" fontId="25" fillId="3" borderId="15" xfId="0" applyFont="1" applyFill="1" applyBorder="1" applyAlignment="1">
      <alignment vertical="center" wrapText="1"/>
    </xf>
    <xf numFmtId="0" fontId="25" fillId="3" borderId="1" xfId="0" applyFont="1" applyFill="1" applyBorder="1" applyAlignment="1">
      <alignment horizontal="center" vertical="center" wrapText="1"/>
    </xf>
    <xf numFmtId="3" fontId="25" fillId="3" borderId="1" xfId="0" applyNumberFormat="1" applyFont="1" applyFill="1" applyBorder="1" applyAlignment="1">
      <alignment horizontal="center" vertical="center" wrapText="1"/>
    </xf>
    <xf numFmtId="3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horizontal="right" vertical="top"/>
    </xf>
    <xf numFmtId="0" fontId="27" fillId="4" borderId="3" xfId="0" applyFont="1" applyFill="1" applyBorder="1" applyAlignment="1">
      <alignment vertical="top" wrapText="1"/>
    </xf>
    <xf numFmtId="0" fontId="27" fillId="4" borderId="11" xfId="0" applyFont="1" applyFill="1" applyBorder="1" applyAlignment="1">
      <alignment vertical="top" wrapText="1"/>
    </xf>
    <xf numFmtId="3" fontId="8" fillId="4" borderId="3" xfId="0" applyNumberFormat="1" applyFont="1" applyFill="1" applyBorder="1" applyAlignment="1">
      <alignment vertical="top"/>
    </xf>
    <xf numFmtId="0" fontId="9" fillId="4" borderId="3" xfId="0" applyFont="1" applyFill="1" applyBorder="1" applyAlignment="1">
      <alignment vertical="top"/>
    </xf>
    <xf numFmtId="0" fontId="8" fillId="4" borderId="3" xfId="0" applyFont="1" applyFill="1" applyBorder="1" applyAlignment="1">
      <alignment vertical="top"/>
    </xf>
    <xf numFmtId="0" fontId="8" fillId="4" borderId="12" xfId="0" applyFont="1" applyFill="1" applyBorder="1" applyAlignment="1">
      <alignment horizontal="right" vertical="top"/>
    </xf>
    <xf numFmtId="0" fontId="27" fillId="4" borderId="0" xfId="0" applyFont="1" applyFill="1" applyBorder="1" applyAlignment="1">
      <alignment vertical="top" wrapText="1"/>
    </xf>
    <xf numFmtId="0" fontId="27" fillId="4" borderId="13" xfId="0" applyFont="1" applyFill="1" applyBorder="1" applyAlignment="1">
      <alignment vertical="top" wrapText="1"/>
    </xf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8" fillId="4" borderId="0" xfId="0" applyFont="1" applyFill="1" applyBorder="1" applyAlignment="1">
      <alignment vertical="top"/>
    </xf>
    <xf numFmtId="0" fontId="8" fillId="4" borderId="10" xfId="0" applyFont="1" applyFill="1" applyBorder="1"/>
    <xf numFmtId="0" fontId="8" fillId="4" borderId="2" xfId="0" applyFont="1" applyFill="1" applyBorder="1"/>
    <xf numFmtId="0" fontId="8" fillId="4" borderId="14" xfId="0" applyFont="1" applyFill="1" applyBorder="1"/>
    <xf numFmtId="0" fontId="8" fillId="4" borderId="0" xfId="0" applyFont="1" applyFill="1" applyBorder="1"/>
    <xf numFmtId="164" fontId="0" fillId="4" borderId="9" xfId="0" applyNumberFormat="1" applyFill="1" applyBorder="1" applyAlignment="1">
      <alignment vertical="top"/>
    </xf>
    <xf numFmtId="164" fontId="0" fillId="4" borderId="12" xfId="0" applyNumberFormat="1" applyFill="1" applyBorder="1" applyAlignment="1">
      <alignment vertical="top"/>
    </xf>
    <xf numFmtId="2" fontId="3" fillId="2" borderId="1" xfId="0" applyNumberFormat="1" applyFont="1" applyFill="1" applyBorder="1" applyAlignment="1">
      <alignment vertical="top"/>
    </xf>
    <xf numFmtId="164" fontId="2" fillId="6" borderId="9" xfId="0" applyNumberFormat="1" applyFont="1" applyFill="1" applyBorder="1" applyAlignment="1">
      <alignment vertical="top"/>
    </xf>
    <xf numFmtId="164" fontId="3" fillId="2" borderId="8" xfId="0" applyNumberFormat="1" applyFont="1" applyFill="1" applyBorder="1" applyAlignment="1">
      <alignment horizontal="right" vertical="top"/>
    </xf>
    <xf numFmtId="0" fontId="0" fillId="2" borderId="1" xfId="0" applyFill="1" applyBorder="1" applyAlignment="1">
      <alignment horizontal="center" vertical="top"/>
    </xf>
    <xf numFmtId="0" fontId="17" fillId="2" borderId="15" xfId="0" applyFont="1" applyFill="1" applyBorder="1" applyAlignment="1">
      <alignment horizontal="center" vertical="top"/>
    </xf>
    <xf numFmtId="0" fontId="22" fillId="5" borderId="1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3" fontId="18" fillId="5" borderId="3" xfId="0" applyNumberFormat="1" applyFont="1" applyFill="1" applyBorder="1" applyAlignment="1">
      <alignment horizontal="center" vertical="center" wrapText="1"/>
    </xf>
    <xf numFmtId="164" fontId="18" fillId="5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vertical="top"/>
    </xf>
    <xf numFmtId="2" fontId="2" fillId="3" borderId="4" xfId="0" applyNumberFormat="1" applyFont="1" applyFill="1" applyBorder="1" applyAlignment="1">
      <alignment horizontal="right" vertical="top"/>
    </xf>
    <xf numFmtId="3" fontId="2" fillId="3" borderId="1" xfId="0" applyNumberFormat="1" applyFont="1" applyFill="1" applyBorder="1" applyAlignment="1">
      <alignment horizontal="center" vertical="top"/>
    </xf>
    <xf numFmtId="3" fontId="11" fillId="3" borderId="8" xfId="0" applyNumberFormat="1" applyFont="1" applyFill="1" applyBorder="1" applyAlignment="1">
      <alignment vertical="top"/>
    </xf>
    <xf numFmtId="3" fontId="11" fillId="3" borderId="1" xfId="0" applyNumberFormat="1" applyFont="1" applyFill="1" applyBorder="1" applyAlignment="1">
      <alignment vertical="top"/>
    </xf>
    <xf numFmtId="3" fontId="11" fillId="3" borderId="15" xfId="0" applyNumberFormat="1" applyFont="1" applyFill="1" applyBorder="1" applyAlignment="1">
      <alignment vertical="top"/>
    </xf>
    <xf numFmtId="0" fontId="12" fillId="3" borderId="1" xfId="0" applyFont="1" applyFill="1" applyBorder="1" applyAlignment="1">
      <alignment vertical="top"/>
    </xf>
    <xf numFmtId="0" fontId="10" fillId="6" borderId="8" xfId="0" applyFont="1" applyFill="1" applyBorder="1" applyAlignment="1">
      <alignment horizontal="center" vertical="top"/>
    </xf>
    <xf numFmtId="3" fontId="10" fillId="6" borderId="9" xfId="0" applyNumberFormat="1" applyFont="1" applyFill="1" applyBorder="1" applyAlignment="1">
      <alignment horizontal="center" vertical="top"/>
    </xf>
    <xf numFmtId="0" fontId="10" fillId="4" borderId="0" xfId="0" applyFont="1" applyFill="1" applyAlignment="1">
      <alignment horizontal="center" vertical="top"/>
    </xf>
    <xf numFmtId="3" fontId="10" fillId="6" borderId="10" xfId="0" applyNumberFormat="1" applyFont="1" applyFill="1" applyBorder="1" applyAlignment="1">
      <alignment horizontal="center" vertical="top"/>
    </xf>
    <xf numFmtId="0" fontId="10" fillId="6" borderId="4" xfId="0" applyFont="1" applyFill="1" applyBorder="1" applyAlignment="1">
      <alignment horizontal="center" vertical="top"/>
    </xf>
    <xf numFmtId="3" fontId="10" fillId="4" borderId="0" xfId="0" applyNumberFormat="1" applyFont="1" applyFill="1" applyAlignment="1">
      <alignment horizontal="center" vertical="top"/>
    </xf>
    <xf numFmtId="0" fontId="16" fillId="2" borderId="1" xfId="0" applyFont="1" applyFill="1" applyBorder="1" applyAlignment="1">
      <alignment horizontal="center" vertical="top"/>
    </xf>
    <xf numFmtId="3" fontId="16" fillId="2" borderId="1" xfId="0" applyNumberFormat="1" applyFont="1" applyFill="1" applyBorder="1" applyAlignment="1">
      <alignment horizontal="center" vertical="top"/>
    </xf>
    <xf numFmtId="3" fontId="17" fillId="2" borderId="1" xfId="0" applyNumberFormat="1" applyFont="1" applyFill="1" applyBorder="1" applyAlignment="1">
      <alignment horizontal="center" vertical="top"/>
    </xf>
    <xf numFmtId="164" fontId="2" fillId="3" borderId="8" xfId="0" applyNumberFormat="1" applyFont="1" applyFill="1" applyBorder="1" applyAlignment="1">
      <alignment horizontal="right" vertical="top"/>
    </xf>
    <xf numFmtId="0" fontId="17" fillId="3" borderId="1" xfId="0" applyFont="1" applyFill="1" applyBorder="1" applyAlignment="1">
      <alignment horizontal="center" vertical="top"/>
    </xf>
    <xf numFmtId="3" fontId="17" fillId="3" borderId="1" xfId="0" applyNumberFormat="1" applyFont="1" applyFill="1" applyBorder="1" applyAlignment="1">
      <alignment horizontal="center" vertical="top"/>
    </xf>
    <xf numFmtId="164" fontId="18" fillId="5" borderId="1" xfId="0" applyNumberFormat="1" applyFont="1" applyFill="1" applyBorder="1" applyAlignment="1">
      <alignment vertical="center" wrapText="1"/>
    </xf>
    <xf numFmtId="0" fontId="17" fillId="3" borderId="15" xfId="0" applyFont="1" applyFill="1" applyBorder="1" applyAlignment="1">
      <alignment horizontal="center" vertical="top"/>
    </xf>
    <xf numFmtId="0" fontId="2" fillId="5" borderId="1" xfId="0" applyFont="1" applyFill="1" applyBorder="1" applyAlignment="1">
      <alignment horizontal="center" vertical="top" wrapText="1"/>
    </xf>
    <xf numFmtId="0" fontId="30" fillId="4" borderId="0" xfId="0" applyFont="1" applyFill="1" applyAlignment="1">
      <alignment vertical="top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workbookViewId="0"/>
  </sheetViews>
  <sheetFormatPr defaultColWidth="10.875" defaultRowHeight="15.75"/>
  <cols>
    <col min="1" max="1" width="5" style="135" customWidth="1"/>
    <col min="2" max="2" width="120.5" style="135" customWidth="1"/>
    <col min="3" max="3" width="4.5" style="135" customWidth="1"/>
    <col min="4" max="16384" width="10.875" style="135"/>
  </cols>
  <sheetData>
    <row r="1" spans="1:17" s="153" customFormat="1" ht="26.1" customHeight="1">
      <c r="A1" s="146"/>
      <c r="B1" s="147" t="s">
        <v>70</v>
      </c>
      <c r="C1" s="148"/>
      <c r="D1" s="149"/>
      <c r="E1" s="149"/>
      <c r="F1" s="149"/>
      <c r="G1" s="149"/>
      <c r="H1" s="149"/>
      <c r="I1" s="149"/>
      <c r="J1" s="150"/>
      <c r="K1" s="151"/>
      <c r="L1" s="151"/>
      <c r="M1" s="151"/>
      <c r="N1" s="151"/>
      <c r="O1" s="151"/>
      <c r="P1" s="152"/>
      <c r="Q1" s="152"/>
    </row>
    <row r="2" spans="1:17" s="159" customFormat="1" ht="45">
      <c r="A2" s="154" t="s">
        <v>73</v>
      </c>
      <c r="B2" s="155" t="s">
        <v>74</v>
      </c>
      <c r="C2" s="156"/>
      <c r="D2" s="155"/>
      <c r="E2" s="155"/>
      <c r="F2" s="155"/>
      <c r="G2" s="155"/>
      <c r="H2" s="155"/>
      <c r="I2" s="155"/>
      <c r="J2" s="155"/>
      <c r="K2" s="157"/>
      <c r="L2" s="157"/>
      <c r="M2" s="157"/>
      <c r="N2" s="158"/>
    </row>
    <row r="3" spans="1:17" s="165" customFormat="1">
      <c r="A3" s="160" t="s">
        <v>73</v>
      </c>
      <c r="B3" s="161" t="s">
        <v>83</v>
      </c>
      <c r="C3" s="162"/>
      <c r="D3" s="161"/>
      <c r="E3" s="161"/>
      <c r="F3" s="161"/>
      <c r="G3" s="161"/>
      <c r="H3" s="161"/>
      <c r="I3" s="161"/>
      <c r="J3" s="161"/>
      <c r="K3" s="163"/>
      <c r="L3" s="163"/>
      <c r="M3" s="163"/>
      <c r="N3" s="164"/>
    </row>
    <row r="4" spans="1:17" s="165" customFormat="1" ht="45">
      <c r="A4" s="160" t="s">
        <v>73</v>
      </c>
      <c r="B4" s="161" t="s">
        <v>71</v>
      </c>
      <c r="C4" s="162"/>
      <c r="D4" s="161"/>
      <c r="E4" s="161"/>
      <c r="F4" s="161"/>
      <c r="G4" s="161"/>
      <c r="H4" s="161"/>
      <c r="I4" s="161"/>
      <c r="J4" s="161"/>
      <c r="K4" s="163"/>
      <c r="L4" s="163"/>
      <c r="M4" s="163"/>
      <c r="N4" s="164"/>
    </row>
    <row r="5" spans="1:17" s="165" customFormat="1" ht="60">
      <c r="A5" s="160" t="s">
        <v>73</v>
      </c>
      <c r="B5" s="161" t="s">
        <v>72</v>
      </c>
      <c r="C5" s="162"/>
      <c r="D5" s="161"/>
      <c r="E5" s="161"/>
      <c r="F5" s="161"/>
      <c r="G5" s="161"/>
      <c r="H5" s="161"/>
      <c r="I5" s="161"/>
      <c r="J5" s="161"/>
      <c r="K5" s="163"/>
      <c r="L5" s="163"/>
      <c r="M5" s="163"/>
      <c r="N5" s="164"/>
    </row>
    <row r="6" spans="1:17" s="165" customFormat="1" ht="90">
      <c r="A6" s="160" t="s">
        <v>73</v>
      </c>
      <c r="B6" s="161" t="s">
        <v>88</v>
      </c>
      <c r="C6" s="162"/>
      <c r="D6" s="161"/>
      <c r="E6" s="161"/>
      <c r="F6" s="161"/>
      <c r="G6" s="161"/>
      <c r="H6" s="161"/>
      <c r="I6" s="161"/>
      <c r="J6" s="161"/>
      <c r="K6" s="163"/>
      <c r="L6" s="163"/>
      <c r="M6" s="163"/>
      <c r="N6" s="164"/>
    </row>
    <row r="7" spans="1:17" s="165" customFormat="1" ht="75">
      <c r="A7" s="160" t="s">
        <v>73</v>
      </c>
      <c r="B7" s="161" t="s">
        <v>81</v>
      </c>
      <c r="C7" s="162"/>
      <c r="D7" s="161"/>
      <c r="E7" s="161"/>
      <c r="F7" s="161"/>
      <c r="G7" s="161"/>
      <c r="H7" s="161"/>
      <c r="I7" s="161"/>
      <c r="J7" s="161"/>
      <c r="K7" s="163"/>
      <c r="L7" s="163"/>
      <c r="M7" s="163"/>
      <c r="N7" s="164"/>
    </row>
    <row r="8" spans="1:17" s="165" customFormat="1" ht="60">
      <c r="A8" s="160" t="s">
        <v>73</v>
      </c>
      <c r="B8" s="161" t="s">
        <v>84</v>
      </c>
      <c r="C8" s="162"/>
      <c r="D8" s="161"/>
      <c r="E8" s="161"/>
      <c r="F8" s="161"/>
      <c r="G8" s="161"/>
      <c r="H8" s="161"/>
      <c r="I8" s="161"/>
      <c r="J8" s="161"/>
      <c r="K8" s="163"/>
      <c r="L8" s="163"/>
      <c r="M8" s="163"/>
      <c r="N8" s="164"/>
    </row>
    <row r="9" spans="1:17" s="165" customFormat="1" ht="60">
      <c r="A9" s="160" t="s">
        <v>73</v>
      </c>
      <c r="B9" s="161" t="s">
        <v>75</v>
      </c>
      <c r="C9" s="162"/>
      <c r="D9" s="161"/>
      <c r="E9" s="161"/>
      <c r="F9" s="161"/>
      <c r="G9" s="161"/>
      <c r="H9" s="161"/>
      <c r="I9" s="161"/>
      <c r="J9" s="161"/>
      <c r="K9" s="163"/>
      <c r="L9" s="163"/>
      <c r="M9" s="163"/>
      <c r="N9" s="164"/>
    </row>
    <row r="10" spans="1:17" s="165" customFormat="1" ht="45">
      <c r="A10" s="160" t="s">
        <v>73</v>
      </c>
      <c r="B10" s="161" t="s">
        <v>76</v>
      </c>
      <c r="C10" s="162"/>
      <c r="D10" s="161"/>
      <c r="E10" s="161"/>
      <c r="F10" s="161"/>
      <c r="G10" s="161"/>
      <c r="H10" s="161"/>
      <c r="I10" s="161"/>
      <c r="J10" s="161"/>
      <c r="K10" s="163"/>
      <c r="L10" s="163"/>
      <c r="M10" s="163"/>
      <c r="N10" s="164"/>
    </row>
    <row r="11" spans="1:17" s="165" customFormat="1" ht="30">
      <c r="A11" s="160" t="s">
        <v>73</v>
      </c>
      <c r="B11" s="161" t="s">
        <v>80</v>
      </c>
      <c r="C11" s="162"/>
      <c r="D11" s="161"/>
      <c r="E11" s="161"/>
      <c r="F11" s="161"/>
      <c r="G11" s="161"/>
      <c r="H11" s="161"/>
      <c r="I11" s="161"/>
      <c r="J11" s="161"/>
      <c r="K11" s="163"/>
      <c r="L11" s="163"/>
      <c r="M11" s="163"/>
      <c r="N11" s="164"/>
    </row>
    <row r="12" spans="1:17" s="169" customFormat="1">
      <c r="A12" s="166"/>
      <c r="B12" s="167"/>
      <c r="C12" s="168"/>
    </row>
    <row r="13" spans="1:17">
      <c r="B13" s="142" t="s">
        <v>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4"/>
  <sheetViews>
    <sheetView tabSelected="1" workbookViewId="0">
      <selection activeCell="D2" sqref="D2"/>
    </sheetView>
  </sheetViews>
  <sheetFormatPr defaultColWidth="10.875" defaultRowHeight="15.75"/>
  <cols>
    <col min="1" max="1" width="4.625" style="2" customWidth="1"/>
    <col min="2" max="2" width="47.375" style="2" customWidth="1"/>
    <col min="3" max="3" width="15.125" style="5" customWidth="1"/>
    <col min="4" max="4" width="16.625" style="2" customWidth="1"/>
    <col min="5" max="5" width="8.5" style="2" customWidth="1"/>
    <col min="6" max="6" width="12.125" style="4" customWidth="1"/>
    <col min="7" max="7" width="7.875" style="3" customWidth="1"/>
    <col min="8" max="8" width="18.125" style="3" customWidth="1"/>
    <col min="9" max="9" width="16.125" style="3" bestFit="1" customWidth="1"/>
    <col min="10" max="12" width="12.625" style="3" customWidth="1"/>
    <col min="13" max="13" width="12.625" style="6" customWidth="1"/>
    <col min="14" max="14" width="13.5" style="2" customWidth="1"/>
    <col min="15" max="15" width="16.375" style="2" customWidth="1"/>
    <col min="16" max="16" width="13.125" style="2" customWidth="1"/>
    <col min="17" max="16384" width="10.875" style="2"/>
  </cols>
  <sheetData>
    <row r="1" spans="1:18">
      <c r="B1" s="204" t="s">
        <v>89</v>
      </c>
    </row>
    <row r="2" spans="1:18" s="49" customFormat="1" ht="36.950000000000003" customHeight="1">
      <c r="A2" s="47"/>
      <c r="B2" s="48" t="s">
        <v>35</v>
      </c>
      <c r="C2" s="47"/>
      <c r="F2" s="50"/>
      <c r="G2" s="51"/>
      <c r="H2" s="51"/>
      <c r="I2" s="51"/>
      <c r="J2" s="51"/>
      <c r="K2" s="51"/>
      <c r="L2" s="51"/>
      <c r="M2" s="52"/>
    </row>
    <row r="3" spans="1:18" s="53" customFormat="1" ht="69" customHeight="1">
      <c r="A3" s="89" t="s">
        <v>36</v>
      </c>
      <c r="B3" s="90" t="s">
        <v>1</v>
      </c>
      <c r="C3" s="91" t="s">
        <v>30</v>
      </c>
      <c r="D3" s="203" t="s">
        <v>86</v>
      </c>
      <c r="E3" s="203"/>
      <c r="F3" s="203" t="s">
        <v>85</v>
      </c>
      <c r="G3" s="203"/>
      <c r="H3" s="91" t="s">
        <v>33</v>
      </c>
      <c r="I3" s="91" t="s">
        <v>34</v>
      </c>
      <c r="J3" s="91" t="s">
        <v>2</v>
      </c>
      <c r="K3" s="92" t="s">
        <v>5</v>
      </c>
      <c r="L3" s="54" t="s">
        <v>60</v>
      </c>
      <c r="M3" s="55" t="s">
        <v>61</v>
      </c>
      <c r="N3" s="55" t="s">
        <v>62</v>
      </c>
      <c r="O3" s="55" t="s">
        <v>63</v>
      </c>
      <c r="P3" s="55" t="s">
        <v>64</v>
      </c>
      <c r="Q3" s="56" t="s">
        <v>65</v>
      </c>
      <c r="R3" s="57" t="s">
        <v>32</v>
      </c>
    </row>
    <row r="4" spans="1:18" ht="31.5">
      <c r="A4" s="5">
        <v>0</v>
      </c>
      <c r="B4" s="31" t="s">
        <v>59</v>
      </c>
      <c r="C4" s="88"/>
      <c r="F4" s="2"/>
      <c r="G4" s="2"/>
      <c r="H4" s="4"/>
      <c r="M4" s="3"/>
      <c r="N4" s="3"/>
      <c r="O4" s="6"/>
    </row>
    <row r="5" spans="1:18" s="136" customFormat="1" ht="26.1" customHeight="1">
      <c r="A5" s="177" t="s">
        <v>66</v>
      </c>
      <c r="B5" s="136" t="s">
        <v>37</v>
      </c>
      <c r="C5" s="178"/>
      <c r="D5" s="178"/>
      <c r="E5" s="137"/>
      <c r="F5" s="178"/>
      <c r="G5" s="137"/>
      <c r="H5" s="178"/>
      <c r="I5" s="178"/>
      <c r="J5" s="178"/>
      <c r="K5" s="179"/>
      <c r="L5" s="139"/>
      <c r="M5" s="139"/>
      <c r="N5" s="139"/>
      <c r="O5" s="139"/>
      <c r="P5" s="139"/>
      <c r="Q5" s="140"/>
      <c r="R5" s="141"/>
    </row>
    <row r="6" spans="1:18">
      <c r="A6" s="5">
        <v>1</v>
      </c>
      <c r="B6" s="2" t="s">
        <v>0</v>
      </c>
      <c r="C6" s="15"/>
      <c r="D6" s="35"/>
      <c r="E6" s="29" t="s">
        <v>39</v>
      </c>
      <c r="F6" s="170" t="str">
        <f>IF(D6="","",D6*21.34)</f>
        <v/>
      </c>
      <c r="G6" s="29" t="str">
        <f>IF(F6="","","GJ/rok")</f>
        <v/>
      </c>
      <c r="H6" s="26"/>
      <c r="I6" s="83"/>
      <c r="J6" s="189"/>
      <c r="K6" s="190"/>
      <c r="L6" s="20" t="str">
        <f>IF($D6="","",VLOOKUP(CONCATENATE($B6,$R6,$J6,$K6),$A$63:$L$83,7,FALSE)*$D6*$I6)</f>
        <v/>
      </c>
      <c r="M6" s="21" t="str">
        <f t="shared" ref="M6:M14" si="0">IF($D6="","",VLOOKUP(CONCATENATE($B6,$R6,$J6,$K6),$A$63:$L$83,8,FALSE)*$D6)</f>
        <v/>
      </c>
      <c r="N6" s="21" t="str">
        <f t="shared" ref="N6:N14" si="1">IF($D6="","",VLOOKUP(CONCATENATE($B6,$R6,$J6,$K6),$A$63:$L$83,9,FALSE)*$D6)</f>
        <v/>
      </c>
      <c r="O6" s="21" t="str">
        <f t="shared" ref="O6:O14" si="2">IF($D6="","",VLOOKUP(CONCATENATE($B6,$R6,$J6,$K6),$A$63:$L$83,10,FALSE)*$D6)</f>
        <v/>
      </c>
      <c r="P6" s="21" t="str">
        <f>IF($D6="","",VLOOKUP(CONCATENATE($B6,$R6,$J6,$K6),$A$63:$L$83,11,FALSE)*$D6*$H6)</f>
        <v/>
      </c>
      <c r="Q6" s="22" t="str">
        <f t="shared" ref="Q6:Q14" si="3">IF($D6="","",VLOOKUP(CONCATENATE($B6,$R6,$J6,$K6),$A$63:$L$83,12,FALSE)*$D6)</f>
        <v/>
      </c>
      <c r="R6" s="6" t="str">
        <f>IF(C6="","",IF(C6&lt;=0.5,"≤ 0,5","&gt; 0,5 ÷ ≤ 5"))</f>
        <v/>
      </c>
    </row>
    <row r="7" spans="1:18">
      <c r="A7" s="5">
        <v>2</v>
      </c>
      <c r="B7" s="2" t="s">
        <v>16</v>
      </c>
      <c r="C7" s="16"/>
      <c r="D7" s="36"/>
      <c r="E7" s="30" t="s">
        <v>39</v>
      </c>
      <c r="F7" s="171" t="str">
        <f>IF(D7="","",D7*28.2)</f>
        <v/>
      </c>
      <c r="G7" s="30" t="str">
        <f t="shared" ref="G7:G14" si="4">IF(F7="","","GJ/rok")</f>
        <v/>
      </c>
      <c r="H7" s="27"/>
      <c r="I7" s="84"/>
      <c r="J7" s="191" t="str">
        <f>IF(D7="","","Ruszt stały")</f>
        <v/>
      </c>
      <c r="K7" s="192"/>
      <c r="L7" s="23" t="str">
        <f>IF($D7="","",VLOOKUP(CONCATENATE($B7,$R7,$J7,$K7),$A$63:$L$83,7,FALSE)*$D7*$I7)</f>
        <v/>
      </c>
      <c r="M7" s="24" t="str">
        <f t="shared" si="0"/>
        <v/>
      </c>
      <c r="N7" s="24" t="str">
        <f t="shared" si="1"/>
        <v/>
      </c>
      <c r="O7" s="24" t="str">
        <f t="shared" si="2"/>
        <v/>
      </c>
      <c r="P7" s="24" t="str">
        <f>IF($D7="","",VLOOKUP(CONCATENATE($B7,$R7,$J7,$K7),$A$63:$L$83,11,FALSE)*$D7*$H7)</f>
        <v/>
      </c>
      <c r="Q7" s="25" t="str">
        <f t="shared" si="3"/>
        <v/>
      </c>
      <c r="R7" s="6" t="str">
        <f>IF(C7="","",IF(C7&lt;=0.5,"≤ 0,5","&gt; 0,5 ÷ ≤ 5"))</f>
        <v/>
      </c>
    </row>
    <row r="8" spans="1:18">
      <c r="A8" s="5">
        <v>3</v>
      </c>
      <c r="B8" s="2" t="s">
        <v>17</v>
      </c>
      <c r="C8" s="16"/>
      <c r="D8" s="36"/>
      <c r="E8" s="30" t="s">
        <v>39</v>
      </c>
      <c r="F8" s="171" t="str">
        <f>IF(D8="","",D8*15.6)</f>
        <v/>
      </c>
      <c r="G8" s="30" t="str">
        <f t="shared" si="4"/>
        <v/>
      </c>
      <c r="H8" s="28"/>
      <c r="I8" s="85"/>
      <c r="J8" s="193"/>
      <c r="K8" s="194"/>
      <c r="L8" s="23" t="str">
        <f>IF($D8="","",VLOOKUP(CONCATENATE($B8,$R8,$J8,$K8),$A$63:$L$83,7,FALSE)*$D8)</f>
        <v/>
      </c>
      <c r="M8" s="24" t="str">
        <f t="shared" si="0"/>
        <v/>
      </c>
      <c r="N8" s="24" t="str">
        <f t="shared" si="1"/>
        <v/>
      </c>
      <c r="O8" s="24" t="str">
        <f t="shared" si="2"/>
        <v/>
      </c>
      <c r="P8" s="24" t="str">
        <f>IF($D8="","",VLOOKUP(CONCATENATE($B8,$R8,$J8,$K8),$A$63:$L$83,11,FALSE)*$D8*$H8)</f>
        <v/>
      </c>
      <c r="Q8" s="25" t="str">
        <f t="shared" si="3"/>
        <v/>
      </c>
      <c r="R8" s="6" t="str">
        <f>IF(C8="","",IF(J8="Ruszt mechaniczny","≤ 5",IF(C8&lt;=1,"≤ 1,0","&gt; 1,0 ÷ ≤ 5")))</f>
        <v/>
      </c>
    </row>
    <row r="9" spans="1:18">
      <c r="A9" s="5">
        <v>4</v>
      </c>
      <c r="B9" s="2" t="s">
        <v>21</v>
      </c>
      <c r="C9" s="16"/>
      <c r="D9" s="36"/>
      <c r="E9" s="30" t="s">
        <v>39</v>
      </c>
      <c r="F9" s="171" t="str">
        <f>IF(D9="","",D9*43)</f>
        <v/>
      </c>
      <c r="G9" s="30" t="str">
        <f t="shared" si="4"/>
        <v/>
      </c>
      <c r="H9" s="7"/>
      <c r="I9" s="83"/>
      <c r="J9" s="191"/>
      <c r="K9" s="194"/>
      <c r="L9" s="23" t="str">
        <f>IF($D9="","",VLOOKUP(CONCATENATE($B9,$R9,$J9,$K9),$A$63:$L$83,7,FALSE)*$D9*$I9)</f>
        <v/>
      </c>
      <c r="M9" s="24" t="str">
        <f t="shared" si="0"/>
        <v/>
      </c>
      <c r="N9" s="24" t="str">
        <f t="shared" si="1"/>
        <v/>
      </c>
      <c r="O9" s="24" t="str">
        <f t="shared" si="2"/>
        <v/>
      </c>
      <c r="P9" s="24" t="str">
        <f t="shared" ref="P9:P14" si="5">IF($D9="","",VLOOKUP(CONCATENATE($B9,$R9,$J9,$K9),$A$63:$L$83,11,FALSE)*$D9)</f>
        <v/>
      </c>
      <c r="Q9" s="25" t="str">
        <f t="shared" si="3"/>
        <v/>
      </c>
      <c r="R9" s="6" t="str">
        <f>IF(C9="","",IF(C9&lt;=0.5,"≤ 0,5","&gt; 0,5 ÷ ≤ 5"))</f>
        <v/>
      </c>
    </row>
    <row r="10" spans="1:18">
      <c r="A10" s="5">
        <v>5</v>
      </c>
      <c r="B10" s="2" t="s">
        <v>22</v>
      </c>
      <c r="C10" s="16"/>
      <c r="D10" s="36"/>
      <c r="E10" s="30" t="s">
        <v>39</v>
      </c>
      <c r="F10" s="171" t="str">
        <f>IF(D10="","",D10*40.4)</f>
        <v/>
      </c>
      <c r="G10" s="30" t="str">
        <f t="shared" si="4"/>
        <v/>
      </c>
      <c r="H10" s="7"/>
      <c r="I10" s="86"/>
      <c r="J10" s="191"/>
      <c r="K10" s="194"/>
      <c r="L10" s="23" t="str">
        <f>IF($D10="","",VLOOKUP(CONCATENATE($B10,$R10,$J10,$K10),$A$63:$L$83,7,FALSE)*$D10*$I10)</f>
        <v/>
      </c>
      <c r="M10" s="24" t="str">
        <f t="shared" si="0"/>
        <v/>
      </c>
      <c r="N10" s="24" t="str">
        <f t="shared" si="1"/>
        <v/>
      </c>
      <c r="O10" s="24" t="str">
        <f t="shared" si="2"/>
        <v/>
      </c>
      <c r="P10" s="24" t="str">
        <f t="shared" si="5"/>
        <v/>
      </c>
      <c r="Q10" s="25" t="str">
        <f t="shared" si="3"/>
        <v/>
      </c>
      <c r="R10" s="6" t="str">
        <f>IF(C10="","",IF(C10&lt;=0.5,"≤ 0,5","&gt; 0,5 ÷ ≤ 5"))</f>
        <v/>
      </c>
    </row>
    <row r="11" spans="1:18">
      <c r="A11" s="5">
        <v>6</v>
      </c>
      <c r="B11" s="2" t="s">
        <v>23</v>
      </c>
      <c r="C11" s="16"/>
      <c r="D11" s="36"/>
      <c r="E11" s="30" t="s">
        <v>39</v>
      </c>
      <c r="F11" s="171" t="str">
        <f>IF(D11="","",D11*43)</f>
        <v/>
      </c>
      <c r="G11" s="30" t="str">
        <f t="shared" si="4"/>
        <v/>
      </c>
      <c r="H11" s="7"/>
      <c r="I11" s="84"/>
      <c r="J11" s="191"/>
      <c r="K11" s="194"/>
      <c r="L11" s="23" t="str">
        <f>IF($D11="","",VLOOKUP(CONCATENATE($B11,$R11,$J11,$K11),$A$63:$L$83,7,FALSE)*$D11*$I11)</f>
        <v/>
      </c>
      <c r="M11" s="24" t="str">
        <f t="shared" si="0"/>
        <v/>
      </c>
      <c r="N11" s="24" t="str">
        <f t="shared" si="1"/>
        <v/>
      </c>
      <c r="O11" s="24" t="str">
        <f t="shared" si="2"/>
        <v/>
      </c>
      <c r="P11" s="24" t="str">
        <f t="shared" si="5"/>
        <v/>
      </c>
      <c r="Q11" s="25" t="str">
        <f t="shared" si="3"/>
        <v/>
      </c>
      <c r="R11" s="6" t="str">
        <f>IF(C11="","","≤ 5")</f>
        <v/>
      </c>
    </row>
    <row r="12" spans="1:18">
      <c r="A12" s="5">
        <v>7</v>
      </c>
      <c r="B12" s="2" t="s">
        <v>27</v>
      </c>
      <c r="C12" s="16"/>
      <c r="D12" s="36"/>
      <c r="E12" s="30" t="s">
        <v>39</v>
      </c>
      <c r="F12" s="171" t="str">
        <f>IF(D12="","",D12*47.3)</f>
        <v/>
      </c>
      <c r="G12" s="30" t="str">
        <f t="shared" si="4"/>
        <v/>
      </c>
      <c r="H12" s="7"/>
      <c r="I12" s="87"/>
      <c r="J12" s="191"/>
      <c r="K12" s="194"/>
      <c r="L12" s="23" t="str">
        <f>IF($D12="","",VLOOKUP(CONCATENATE($B12,$R12,$J12,$K12),$A$63:$L$83,7,FALSE)*$D12)</f>
        <v/>
      </c>
      <c r="M12" s="24" t="str">
        <f t="shared" si="0"/>
        <v/>
      </c>
      <c r="N12" s="24" t="str">
        <f t="shared" si="1"/>
        <v/>
      </c>
      <c r="O12" s="24" t="str">
        <f t="shared" si="2"/>
        <v/>
      </c>
      <c r="P12" s="24" t="str">
        <f t="shared" si="5"/>
        <v/>
      </c>
      <c r="Q12" s="25" t="str">
        <f t="shared" si="3"/>
        <v/>
      </c>
      <c r="R12" s="6" t="str">
        <f>IF(C12="","","≤ 5")</f>
        <v/>
      </c>
    </row>
    <row r="13" spans="1:18">
      <c r="A13" s="5">
        <v>8</v>
      </c>
      <c r="B13" s="2" t="s">
        <v>28</v>
      </c>
      <c r="C13" s="16"/>
      <c r="D13" s="36"/>
      <c r="E13" s="30" t="s">
        <v>39</v>
      </c>
      <c r="F13" s="171" t="str">
        <f>IF(D13="","",D13*47.3)</f>
        <v/>
      </c>
      <c r="G13" s="30" t="str">
        <f t="shared" si="4"/>
        <v/>
      </c>
      <c r="H13" s="7"/>
      <c r="I13" s="87"/>
      <c r="J13" s="191"/>
      <c r="K13" s="194"/>
      <c r="L13" s="23" t="str">
        <f>IF($D13="","",VLOOKUP(CONCATENATE($B13,$R13,$J13,$K13),$A$63:$L$83,7,FALSE)*$D13)</f>
        <v/>
      </c>
      <c r="M13" s="24" t="str">
        <f t="shared" si="0"/>
        <v/>
      </c>
      <c r="N13" s="24" t="str">
        <f t="shared" si="1"/>
        <v/>
      </c>
      <c r="O13" s="24" t="str">
        <f t="shared" si="2"/>
        <v/>
      </c>
      <c r="P13" s="24" t="str">
        <f t="shared" si="5"/>
        <v/>
      </c>
      <c r="Q13" s="25" t="str">
        <f t="shared" si="3"/>
        <v/>
      </c>
      <c r="R13" s="6" t="str">
        <f>IF(C13="","","≤ 5")</f>
        <v/>
      </c>
    </row>
    <row r="14" spans="1:18">
      <c r="A14" s="5">
        <v>9</v>
      </c>
      <c r="B14" s="2" t="s">
        <v>26</v>
      </c>
      <c r="C14" s="16"/>
      <c r="D14" s="36"/>
      <c r="E14" s="30" t="s">
        <v>40</v>
      </c>
      <c r="F14" s="171" t="str">
        <f>IF(D14="","",D14*36.03)</f>
        <v/>
      </c>
      <c r="G14" s="30" t="str">
        <f t="shared" si="4"/>
        <v/>
      </c>
      <c r="H14" s="7"/>
      <c r="I14" s="83"/>
      <c r="J14" s="191"/>
      <c r="K14" s="194"/>
      <c r="L14" s="23" t="str">
        <f>IF($D14="","",VLOOKUP(CONCATENATE($B14,$R14,$J14,$K14),$A$63:$L$83,7,FALSE)*$D14*$I14)</f>
        <v/>
      </c>
      <c r="M14" s="24" t="str">
        <f t="shared" si="0"/>
        <v/>
      </c>
      <c r="N14" s="24" t="str">
        <f t="shared" si="1"/>
        <v/>
      </c>
      <c r="O14" s="24" t="str">
        <f t="shared" si="2"/>
        <v/>
      </c>
      <c r="P14" s="24" t="str">
        <f t="shared" si="5"/>
        <v/>
      </c>
      <c r="Q14" s="25" t="str">
        <f t="shared" si="3"/>
        <v/>
      </c>
      <c r="R14" s="6" t="str">
        <f>IF(C14="","",IF(C14&lt;=0.5,"≤ 0,5","&gt; 0,5 ÷ ≤ 5"))</f>
        <v/>
      </c>
    </row>
    <row r="15" spans="1:18" s="118" customFormat="1" ht="47.25">
      <c r="A15" s="106">
        <v>10</v>
      </c>
      <c r="B15" s="107" t="s">
        <v>47</v>
      </c>
      <c r="C15" s="108" t="str">
        <f>IF(C4="Nie",$C$32,"")</f>
        <v/>
      </c>
      <c r="D15" s="109" t="str">
        <f>IF(C15="","",(C15*365*24*0.88*3600/21.67)/1000)</f>
        <v/>
      </c>
      <c r="E15" s="110" t="str">
        <f>IF(C15="","","Mg/rok")</f>
        <v/>
      </c>
      <c r="F15" s="109" t="str">
        <f>IF(D15="","",D15*21.34)</f>
        <v/>
      </c>
      <c r="G15" s="110" t="str">
        <f>IF(F15="","","GJ/rok")</f>
        <v/>
      </c>
      <c r="H15" s="111" t="str">
        <f>IF(C15="","",5%)</f>
        <v/>
      </c>
      <c r="I15" s="112" t="str">
        <f>IF(C15="","",0.4%)</f>
        <v/>
      </c>
      <c r="J15" s="195" t="str">
        <f>IF(C15="","","Ruszt stały")</f>
        <v/>
      </c>
      <c r="K15" s="196" t="str">
        <f>IF(C15="","","Ciąg sztuczny")</f>
        <v/>
      </c>
      <c r="L15" s="114" t="str">
        <f>IF($D15="","",VLOOKUP(CONCATENATE($B6,$R15,$J15,$K15),$A$63:$L$83,7,FALSE)*$D15*$I15)</f>
        <v/>
      </c>
      <c r="M15" s="115" t="str">
        <f>IF($D15="","",VLOOKUP(CONCATENATE($B6,$R15,$J15,$K15),$A$63:$L$83,8,FALSE)*$D15)</f>
        <v/>
      </c>
      <c r="N15" s="115" t="str">
        <f>IF($D15="","",VLOOKUP(CONCATENATE($B6,$R15,$J15,$K15),$A$63:$L$83,9,FALSE)*$D15)</f>
        <v/>
      </c>
      <c r="O15" s="115" t="str">
        <f>IF($D15="","",VLOOKUP(CONCATENATE($B6,$R15,$J15,$K15),$A$63:$L$83,10,FALSE)*$D15)</f>
        <v/>
      </c>
      <c r="P15" s="115" t="str">
        <f>IF($D15="","",VLOOKUP(CONCATENATE($B6,$R15,$J15,$K15),$A$63:$L$83,11,FALSE)*$D15)</f>
        <v/>
      </c>
      <c r="Q15" s="116" t="str">
        <f>IF($D15="","",VLOOKUP(CONCATENATE($B6,$R15,$J15,$K15),$A$63:$L$83,12,FALSE)*$D15)</f>
        <v/>
      </c>
      <c r="R15" s="117" t="str">
        <f>IF(C15="","",IF(C15&lt;=0.5,"≤ 0,5","&gt; 0,5 ÷ ≤ 5"))</f>
        <v/>
      </c>
    </row>
    <row r="16" spans="1:18" s="182" customFormat="1">
      <c r="A16" s="181">
        <v>11</v>
      </c>
      <c r="B16" s="182" t="s">
        <v>44</v>
      </c>
      <c r="C16" s="183">
        <f>SUM(C6:C15)</f>
        <v>0</v>
      </c>
      <c r="D16" s="181"/>
      <c r="E16" s="181"/>
      <c r="F16" s="198">
        <f>SUM(F6:F15)</f>
        <v>0</v>
      </c>
      <c r="G16" s="202" t="s">
        <v>87</v>
      </c>
      <c r="H16" s="181"/>
      <c r="I16" s="181"/>
      <c r="J16" s="181"/>
      <c r="K16" s="184"/>
      <c r="L16" s="185">
        <f>SUM(L6:L15)</f>
        <v>0</v>
      </c>
      <c r="M16" s="186">
        <f t="shared" ref="M16:Q16" si="6">SUM(M6:M15)</f>
        <v>0</v>
      </c>
      <c r="N16" s="186">
        <f t="shared" si="6"/>
        <v>0</v>
      </c>
      <c r="O16" s="186">
        <f t="shared" si="6"/>
        <v>0</v>
      </c>
      <c r="P16" s="186">
        <f t="shared" si="6"/>
        <v>0</v>
      </c>
      <c r="Q16" s="187">
        <f t="shared" si="6"/>
        <v>0</v>
      </c>
      <c r="R16" s="188"/>
    </row>
    <row r="17" spans="1:18" s="136" customFormat="1" ht="27.95" customHeight="1">
      <c r="A17" s="177" t="s">
        <v>67</v>
      </c>
      <c r="B17" s="136" t="s">
        <v>38</v>
      </c>
      <c r="C17" s="137"/>
      <c r="D17" s="180"/>
      <c r="E17" s="137"/>
      <c r="F17" s="180"/>
      <c r="G17" s="137"/>
      <c r="H17" s="137"/>
      <c r="I17" s="137"/>
      <c r="J17" s="137"/>
      <c r="K17" s="138"/>
      <c r="L17" s="139"/>
      <c r="M17" s="139"/>
      <c r="N17" s="139"/>
      <c r="O17" s="139"/>
      <c r="P17" s="139"/>
      <c r="Q17" s="140"/>
      <c r="R17" s="141"/>
    </row>
    <row r="18" spans="1:18" ht="31.5">
      <c r="A18" s="5">
        <v>1</v>
      </c>
      <c r="B18" s="31" t="s">
        <v>42</v>
      </c>
      <c r="D18" s="5"/>
      <c r="E18" s="5"/>
      <c r="F18" s="173"/>
      <c r="G18" s="29" t="s">
        <v>41</v>
      </c>
      <c r="H18" s="4"/>
      <c r="L18" s="94"/>
      <c r="M18" s="38"/>
      <c r="N18" s="38"/>
      <c r="O18" s="38" t="str">
        <f>IF($F18="","",831500*$F18)</f>
        <v/>
      </c>
      <c r="P18" s="38"/>
      <c r="Q18" s="95"/>
    </row>
    <row r="19" spans="1:18" s="118" customFormat="1">
      <c r="A19" s="106">
        <v>2</v>
      </c>
      <c r="B19" s="107" t="s">
        <v>46</v>
      </c>
      <c r="C19" s="172"/>
      <c r="D19" s="172"/>
      <c r="E19" s="119"/>
      <c r="F19" s="174" t="str">
        <f>IF(C4="Nie",$F$36,"")</f>
        <v/>
      </c>
      <c r="G19" s="110" t="str">
        <f>IF(F19="","","MWh/rok")</f>
        <v/>
      </c>
      <c r="H19" s="111"/>
      <c r="I19" s="112"/>
      <c r="J19" s="106"/>
      <c r="K19" s="113"/>
      <c r="L19" s="114"/>
      <c r="M19" s="115"/>
      <c r="N19" s="115"/>
      <c r="O19" s="115" t="str">
        <f>IF($F19="","",831500*$F19)</f>
        <v/>
      </c>
      <c r="P19" s="115"/>
      <c r="Q19" s="116"/>
      <c r="R19" s="117"/>
    </row>
    <row r="20" spans="1:18" s="182" customFormat="1">
      <c r="A20" s="181">
        <v>3</v>
      </c>
      <c r="B20" s="182" t="s">
        <v>44</v>
      </c>
      <c r="C20" s="181"/>
      <c r="D20" s="181"/>
      <c r="E20" s="181"/>
      <c r="F20" s="198">
        <f>SUM(F18:F19)</f>
        <v>0</v>
      </c>
      <c r="G20" s="202" t="s">
        <v>41</v>
      </c>
      <c r="H20" s="181"/>
      <c r="I20" s="181"/>
      <c r="J20" s="181"/>
      <c r="K20" s="184"/>
      <c r="L20" s="185"/>
      <c r="M20" s="186"/>
      <c r="N20" s="186"/>
      <c r="O20" s="186">
        <f>SUM(O18:O19)</f>
        <v>0</v>
      </c>
      <c r="P20" s="186"/>
      <c r="Q20" s="187"/>
      <c r="R20" s="188"/>
    </row>
    <row r="21" spans="1:18" s="49" customFormat="1" ht="36.950000000000003" customHeight="1">
      <c r="A21" s="47"/>
      <c r="B21" s="48" t="s">
        <v>43</v>
      </c>
      <c r="C21" s="47"/>
      <c r="H21" s="50"/>
      <c r="I21" s="51"/>
      <c r="J21" s="51"/>
      <c r="K21" s="51"/>
      <c r="L21" s="51"/>
      <c r="M21" s="51"/>
      <c r="N21" s="51"/>
      <c r="O21" s="52"/>
    </row>
    <row r="22" spans="1:18" s="136" customFormat="1" ht="26.1" customHeight="1">
      <c r="A22" s="177" t="s">
        <v>66</v>
      </c>
      <c r="B22" s="136" t="s">
        <v>37</v>
      </c>
      <c r="C22" s="178"/>
      <c r="D22" s="178"/>
      <c r="E22" s="137"/>
      <c r="F22" s="178"/>
      <c r="G22" s="137"/>
      <c r="H22" s="178"/>
      <c r="I22" s="178"/>
      <c r="J22" s="178"/>
      <c r="K22" s="179"/>
      <c r="L22" s="139"/>
      <c r="M22" s="139"/>
      <c r="N22" s="139"/>
      <c r="O22" s="139"/>
      <c r="P22" s="139"/>
      <c r="Q22" s="140"/>
      <c r="R22" s="141"/>
    </row>
    <row r="23" spans="1:18">
      <c r="A23" s="5">
        <v>1</v>
      </c>
      <c r="B23" s="2" t="s">
        <v>0</v>
      </c>
      <c r="C23" s="15"/>
      <c r="D23" s="35"/>
      <c r="E23" s="29" t="s">
        <v>39</v>
      </c>
      <c r="F23" s="170" t="str">
        <f>IF(D23="","",D23*21.34)</f>
        <v/>
      </c>
      <c r="G23" s="29" t="str">
        <f>IF(F23="","","GJ/rok")</f>
        <v/>
      </c>
      <c r="H23" s="26"/>
      <c r="I23" s="17"/>
      <c r="J23" s="189"/>
      <c r="K23" s="190"/>
      <c r="L23" s="20" t="str">
        <f>IF($D23="","",VLOOKUP(CONCATENATE($B23,$R23,$J23,$K23),$A$63:$L$83,7,FALSE)*$D23*$I23)</f>
        <v/>
      </c>
      <c r="M23" s="21" t="str">
        <f t="shared" ref="M23:M31" si="7">IF($D23="","",VLOOKUP(CONCATENATE($B23,$R23,$J23,$K23),$A$63:$L$83,8,FALSE)*$D23)</f>
        <v/>
      </c>
      <c r="N23" s="21" t="str">
        <f t="shared" ref="N23:N31" si="8">IF($D23="","",VLOOKUP(CONCATENATE($B23,$R23,$J23,$K23),$A$63:$L$83,9,FALSE)*$D23)</f>
        <v/>
      </c>
      <c r="O23" s="21" t="str">
        <f t="shared" ref="O23:O31" si="9">IF($D23="","",VLOOKUP(CONCATENATE($B23,$R23,$J23,$K23),$A$63:$L$83,10,FALSE)*$D23)</f>
        <v/>
      </c>
      <c r="P23" s="21" t="str">
        <f>IF($D23="","",VLOOKUP(CONCATENATE($B23,$R23,$J23,$K23),$A$63:$L$83,11,FALSE)*$D23*$H23)</f>
        <v/>
      </c>
      <c r="Q23" s="22" t="str">
        <f t="shared" ref="Q23:Q31" si="10">IF($D23="","",VLOOKUP(CONCATENATE($B23,$R23,$J23,$K23),$A$63:$L$83,12,FALSE)*$D23)</f>
        <v/>
      </c>
      <c r="R23" s="6" t="str">
        <f>IF(C23="","",IF(C23&lt;=0.5,"≤ 0,5","&gt; 0,5 ÷ ≤ 5"))</f>
        <v/>
      </c>
    </row>
    <row r="24" spans="1:18">
      <c r="A24" s="5">
        <v>2</v>
      </c>
      <c r="B24" s="2" t="s">
        <v>16</v>
      </c>
      <c r="C24" s="16"/>
      <c r="D24" s="36"/>
      <c r="E24" s="30" t="s">
        <v>39</v>
      </c>
      <c r="F24" s="171" t="str">
        <f>IF(D24="","",D24*28.2)</f>
        <v/>
      </c>
      <c r="G24" s="30" t="str">
        <f t="shared" ref="G24:G31" si="11">IF(F24="","","GJ/rok")</f>
        <v/>
      </c>
      <c r="H24" s="27"/>
      <c r="I24" s="19"/>
      <c r="J24" s="191" t="str">
        <f>IF(D24="","","Ruszt stały")</f>
        <v/>
      </c>
      <c r="K24" s="192"/>
      <c r="L24" s="23" t="str">
        <f>IF($D24="","",VLOOKUP(CONCATENATE($B24,$R24,$J24,$K24),$A$63:$L$83,7,FALSE)*$D24*$I24)</f>
        <v/>
      </c>
      <c r="M24" s="24" t="str">
        <f t="shared" si="7"/>
        <v/>
      </c>
      <c r="N24" s="24" t="str">
        <f t="shared" si="8"/>
        <v/>
      </c>
      <c r="O24" s="24" t="str">
        <f t="shared" si="9"/>
        <v/>
      </c>
      <c r="P24" s="24" t="str">
        <f>IF($D24="","",VLOOKUP(CONCATENATE($B24,$R24,$J24,$K24),$A$63:$L$83,11,FALSE)*$D24*$H24)</f>
        <v/>
      </c>
      <c r="Q24" s="25" t="str">
        <f t="shared" si="10"/>
        <v/>
      </c>
      <c r="R24" s="6" t="str">
        <f>IF(C24="","",IF(C24&lt;=0.5,"≤ 0,5","&gt; 0,5 ÷ ≤ 5"))</f>
        <v/>
      </c>
    </row>
    <row r="25" spans="1:18">
      <c r="A25" s="5">
        <v>3</v>
      </c>
      <c r="B25" s="2" t="s">
        <v>17</v>
      </c>
      <c r="C25" s="16"/>
      <c r="D25" s="36"/>
      <c r="E25" s="30" t="s">
        <v>39</v>
      </c>
      <c r="F25" s="171" t="str">
        <f>IF(D25="","",D25*15.6)</f>
        <v/>
      </c>
      <c r="G25" s="30" t="str">
        <f t="shared" si="11"/>
        <v/>
      </c>
      <c r="H25" s="28"/>
      <c r="I25" s="14"/>
      <c r="J25" s="193"/>
      <c r="K25" s="194"/>
      <c r="L25" s="23" t="str">
        <f>IF($D25="","",VLOOKUP(CONCATENATE($B25,$R25,$J25,$K25),$A$63:$L$83,7,FALSE)*$D25)</f>
        <v/>
      </c>
      <c r="M25" s="24" t="str">
        <f t="shared" si="7"/>
        <v/>
      </c>
      <c r="N25" s="24" t="str">
        <f t="shared" si="8"/>
        <v/>
      </c>
      <c r="O25" s="24" t="str">
        <f t="shared" si="9"/>
        <v/>
      </c>
      <c r="P25" s="24" t="str">
        <f>IF($D25="","",VLOOKUP(CONCATENATE($B25,$R25,$J25,$K25),$A$63:$L$83,11,FALSE)*$D25*$H25)</f>
        <v/>
      </c>
      <c r="Q25" s="25" t="str">
        <f t="shared" si="10"/>
        <v/>
      </c>
      <c r="R25" s="6" t="str">
        <f>IF(C25="","",IF(J25="Ruszt mechaniczny","≤ 5",IF(C25&lt;=1,"≤ 1,0","&gt; 1,0 ÷ ≤ 5")))</f>
        <v/>
      </c>
    </row>
    <row r="26" spans="1:18">
      <c r="A26" s="5">
        <v>4</v>
      </c>
      <c r="B26" s="2" t="s">
        <v>21</v>
      </c>
      <c r="C26" s="16"/>
      <c r="D26" s="36"/>
      <c r="E26" s="30" t="s">
        <v>39</v>
      </c>
      <c r="F26" s="171" t="str">
        <f>IF(D26="","",D26*43)</f>
        <v/>
      </c>
      <c r="G26" s="30" t="str">
        <f t="shared" si="11"/>
        <v/>
      </c>
      <c r="H26" s="7"/>
      <c r="I26" s="17"/>
      <c r="J26" s="191"/>
      <c r="K26" s="194"/>
      <c r="L26" s="23" t="str">
        <f>IF($D26="","",VLOOKUP(CONCATENATE($B26,$R26,$J26,$K26),$A$63:$L$83,7,FALSE)*$D26*$I26)</f>
        <v/>
      </c>
      <c r="M26" s="24" t="str">
        <f t="shared" si="7"/>
        <v/>
      </c>
      <c r="N26" s="24" t="str">
        <f t="shared" si="8"/>
        <v/>
      </c>
      <c r="O26" s="24" t="str">
        <f t="shared" si="9"/>
        <v/>
      </c>
      <c r="P26" s="24" t="str">
        <f t="shared" ref="P26:P31" si="12">IF($D26="","",VLOOKUP(CONCATENATE($B26,$R26,$J26,$K26),$A$63:$L$83,11,FALSE)*$D26)</f>
        <v/>
      </c>
      <c r="Q26" s="25" t="str">
        <f t="shared" si="10"/>
        <v/>
      </c>
      <c r="R26" s="6" t="str">
        <f>IF(C26="","",IF(C26&lt;=0.5,"≤ 0,5","&gt; 0,5 ÷ ≤ 5"))</f>
        <v/>
      </c>
    </row>
    <row r="27" spans="1:18">
      <c r="A27" s="5">
        <v>5</v>
      </c>
      <c r="B27" s="2" t="s">
        <v>22</v>
      </c>
      <c r="C27" s="16"/>
      <c r="D27" s="36"/>
      <c r="E27" s="30" t="s">
        <v>39</v>
      </c>
      <c r="F27" s="171" t="str">
        <f>IF(D27="","",D27*40.4)</f>
        <v/>
      </c>
      <c r="G27" s="30" t="str">
        <f t="shared" si="11"/>
        <v/>
      </c>
      <c r="H27" s="7"/>
      <c r="I27" s="18"/>
      <c r="J27" s="191"/>
      <c r="K27" s="194"/>
      <c r="L27" s="23" t="str">
        <f>IF($D27="","",VLOOKUP(CONCATENATE($B27,$R27,$J27,$K27),$A$63:$L$83,7,FALSE)*$D27*$I27)</f>
        <v/>
      </c>
      <c r="M27" s="24" t="str">
        <f t="shared" si="7"/>
        <v/>
      </c>
      <c r="N27" s="24" t="str">
        <f t="shared" si="8"/>
        <v/>
      </c>
      <c r="O27" s="24" t="str">
        <f t="shared" si="9"/>
        <v/>
      </c>
      <c r="P27" s="24" t="str">
        <f t="shared" si="12"/>
        <v/>
      </c>
      <c r="Q27" s="25" t="str">
        <f t="shared" si="10"/>
        <v/>
      </c>
      <c r="R27" s="6" t="str">
        <f>IF(C27="","",IF(C27&lt;=0.5,"≤ 0,5","&gt; 0,5 ÷ ≤ 5"))</f>
        <v/>
      </c>
    </row>
    <row r="28" spans="1:18">
      <c r="A28" s="5">
        <v>6</v>
      </c>
      <c r="B28" s="2" t="s">
        <v>23</v>
      </c>
      <c r="C28" s="16"/>
      <c r="D28" s="36"/>
      <c r="E28" s="30" t="s">
        <v>39</v>
      </c>
      <c r="F28" s="171" t="str">
        <f>IF(D28="","",D28*43)</f>
        <v/>
      </c>
      <c r="G28" s="30" t="str">
        <f t="shared" si="11"/>
        <v/>
      </c>
      <c r="H28" s="7"/>
      <c r="I28" s="19"/>
      <c r="J28" s="191"/>
      <c r="K28" s="194"/>
      <c r="L28" s="23" t="str">
        <f>IF($D28="","",VLOOKUP(CONCATENATE($B28,$R28,$J28,$K28),$A$63:$L$83,7,FALSE)*$D28*$I28)</f>
        <v/>
      </c>
      <c r="M28" s="24" t="str">
        <f t="shared" si="7"/>
        <v/>
      </c>
      <c r="N28" s="24" t="str">
        <f t="shared" si="8"/>
        <v/>
      </c>
      <c r="O28" s="24" t="str">
        <f t="shared" si="9"/>
        <v/>
      </c>
      <c r="P28" s="24" t="str">
        <f t="shared" si="12"/>
        <v/>
      </c>
      <c r="Q28" s="25" t="str">
        <f t="shared" si="10"/>
        <v/>
      </c>
      <c r="R28" s="6" t="str">
        <f>IF(C28="","","≤ 5")</f>
        <v/>
      </c>
    </row>
    <row r="29" spans="1:18">
      <c r="A29" s="5">
        <v>7</v>
      </c>
      <c r="B29" s="2" t="s">
        <v>27</v>
      </c>
      <c r="C29" s="16"/>
      <c r="D29" s="36"/>
      <c r="E29" s="30" t="s">
        <v>39</v>
      </c>
      <c r="F29" s="171" t="str">
        <f>IF(D29="","",D29*47.3)</f>
        <v/>
      </c>
      <c r="G29" s="30" t="str">
        <f t="shared" si="11"/>
        <v/>
      </c>
      <c r="H29" s="7"/>
      <c r="J29" s="191"/>
      <c r="K29" s="194"/>
      <c r="L29" s="23" t="str">
        <f>IF($D29="","",VLOOKUP(CONCATENATE($B29,$R29,$J29,$K29),$A$63:$L$83,7,FALSE)*$D29)</f>
        <v/>
      </c>
      <c r="M29" s="24" t="str">
        <f t="shared" si="7"/>
        <v/>
      </c>
      <c r="N29" s="24" t="str">
        <f t="shared" si="8"/>
        <v/>
      </c>
      <c r="O29" s="24" t="str">
        <f t="shared" si="9"/>
        <v/>
      </c>
      <c r="P29" s="24" t="str">
        <f t="shared" si="12"/>
        <v/>
      </c>
      <c r="Q29" s="25" t="str">
        <f t="shared" si="10"/>
        <v/>
      </c>
      <c r="R29" s="6" t="str">
        <f>IF(C29="","","≤ 5")</f>
        <v/>
      </c>
    </row>
    <row r="30" spans="1:18">
      <c r="A30" s="5">
        <v>8</v>
      </c>
      <c r="B30" s="2" t="s">
        <v>28</v>
      </c>
      <c r="C30" s="16"/>
      <c r="D30" s="36"/>
      <c r="E30" s="30" t="s">
        <v>39</v>
      </c>
      <c r="F30" s="171" t="str">
        <f>IF(D30="","",D30*47.3)</f>
        <v/>
      </c>
      <c r="G30" s="30" t="str">
        <f t="shared" si="11"/>
        <v/>
      </c>
      <c r="H30" s="7"/>
      <c r="J30" s="191"/>
      <c r="K30" s="194"/>
      <c r="L30" s="23" t="str">
        <f>IF($D30="","",VLOOKUP(CONCATENATE($B30,$R30,$J30,$K30),$A$63:$L$83,7,FALSE)*$D30)</f>
        <v/>
      </c>
      <c r="M30" s="24" t="str">
        <f t="shared" si="7"/>
        <v/>
      </c>
      <c r="N30" s="24" t="str">
        <f t="shared" si="8"/>
        <v/>
      </c>
      <c r="O30" s="24" t="str">
        <f t="shared" si="9"/>
        <v/>
      </c>
      <c r="P30" s="24" t="str">
        <f t="shared" si="12"/>
        <v/>
      </c>
      <c r="Q30" s="25" t="str">
        <f t="shared" si="10"/>
        <v/>
      </c>
      <c r="R30" s="6" t="str">
        <f>IF(C30="","","≤ 5")</f>
        <v/>
      </c>
    </row>
    <row r="31" spans="1:18">
      <c r="A31" s="5">
        <v>9</v>
      </c>
      <c r="B31" s="2" t="s">
        <v>26</v>
      </c>
      <c r="C31" s="16"/>
      <c r="D31" s="36"/>
      <c r="E31" s="30" t="s">
        <v>40</v>
      </c>
      <c r="F31" s="171" t="str">
        <f>IF(D31="","",D31*36.03)</f>
        <v/>
      </c>
      <c r="G31" s="30" t="str">
        <f t="shared" si="11"/>
        <v/>
      </c>
      <c r="H31" s="7"/>
      <c r="I31" s="17"/>
      <c r="J31" s="191"/>
      <c r="K31" s="194"/>
      <c r="L31" s="23" t="str">
        <f>IF($D31="","",VLOOKUP(CONCATENATE($B31,$R31,$J31,$K31),$A$63:$L$83,7,FALSE)*$D31*$I31)</f>
        <v/>
      </c>
      <c r="M31" s="24" t="str">
        <f t="shared" si="7"/>
        <v/>
      </c>
      <c r="N31" s="24" t="str">
        <f t="shared" si="8"/>
        <v/>
      </c>
      <c r="O31" s="24" t="str">
        <f t="shared" si="9"/>
        <v/>
      </c>
      <c r="P31" s="24" t="str">
        <f t="shared" si="12"/>
        <v/>
      </c>
      <c r="Q31" s="25" t="str">
        <f t="shared" si="10"/>
        <v/>
      </c>
      <c r="R31" s="6" t="str">
        <f>IF(C31="","",IF(C31&lt;=0.5,"≤ 0,5","&gt; 0,5 ÷ ≤ 5"))</f>
        <v/>
      </c>
    </row>
    <row r="32" spans="1:18" s="39" customFormat="1">
      <c r="A32" s="134" t="s">
        <v>68</v>
      </c>
      <c r="B32" s="96" t="s">
        <v>69</v>
      </c>
      <c r="C32" s="93"/>
      <c r="D32" s="97"/>
      <c r="E32" s="97"/>
      <c r="F32" s="101"/>
      <c r="G32" s="176" t="s">
        <v>87</v>
      </c>
      <c r="H32" s="98"/>
      <c r="I32" s="98"/>
      <c r="J32" s="97"/>
      <c r="K32" s="197"/>
      <c r="L32" s="42">
        <v>0</v>
      </c>
      <c r="M32" s="40"/>
      <c r="N32" s="40">
        <v>0</v>
      </c>
      <c r="O32" s="40">
        <v>0</v>
      </c>
      <c r="P32" s="40">
        <v>0</v>
      </c>
      <c r="Q32" s="43">
        <v>0</v>
      </c>
      <c r="R32" s="41"/>
    </row>
    <row r="33" spans="1:18" s="182" customFormat="1">
      <c r="A33" s="181">
        <v>10</v>
      </c>
      <c r="B33" s="182" t="s">
        <v>44</v>
      </c>
      <c r="C33" s="183">
        <f>SUM(C23:C32)</f>
        <v>0</v>
      </c>
      <c r="D33" s="181"/>
      <c r="E33" s="181"/>
      <c r="F33" s="198">
        <f>SUM(F23:F32)</f>
        <v>0</v>
      </c>
      <c r="G33" s="202" t="s">
        <v>87</v>
      </c>
      <c r="H33" s="181"/>
      <c r="I33" s="181"/>
      <c r="J33" s="199"/>
      <c r="K33" s="200"/>
      <c r="L33" s="185">
        <f>SUM(L23:L32)</f>
        <v>0</v>
      </c>
      <c r="M33" s="186">
        <f t="shared" ref="M33:Q33" si="13">SUM(M23:M32)</f>
        <v>0</v>
      </c>
      <c r="N33" s="186">
        <f t="shared" si="13"/>
        <v>0</v>
      </c>
      <c r="O33" s="186">
        <f t="shared" si="13"/>
        <v>0</v>
      </c>
      <c r="P33" s="186">
        <f t="shared" si="13"/>
        <v>0</v>
      </c>
      <c r="Q33" s="187">
        <f t="shared" si="13"/>
        <v>0</v>
      </c>
      <c r="R33" s="188"/>
    </row>
    <row r="34" spans="1:18" s="136" customFormat="1" ht="27.95" customHeight="1">
      <c r="A34" s="177" t="s">
        <v>67</v>
      </c>
      <c r="B34" s="136" t="s">
        <v>38</v>
      </c>
      <c r="C34" s="137"/>
      <c r="D34" s="180"/>
      <c r="E34" s="137"/>
      <c r="F34" s="201"/>
      <c r="H34" s="137"/>
      <c r="I34" s="137"/>
      <c r="J34" s="137"/>
      <c r="K34" s="138"/>
      <c r="L34" s="139"/>
      <c r="M34" s="139"/>
      <c r="N34" s="139"/>
      <c r="O34" s="139"/>
      <c r="P34" s="139"/>
      <c r="Q34" s="140"/>
      <c r="R34" s="141"/>
    </row>
    <row r="35" spans="1:18" ht="31.5">
      <c r="A35" s="5">
        <v>1</v>
      </c>
      <c r="B35" s="31" t="s">
        <v>42</v>
      </c>
      <c r="D35" s="5"/>
      <c r="E35" s="5"/>
      <c r="F35" s="101"/>
      <c r="G35" s="102" t="s">
        <v>41</v>
      </c>
      <c r="H35" s="4"/>
      <c r="L35" s="44"/>
      <c r="M35" s="37"/>
      <c r="N35" s="37"/>
      <c r="O35" s="37" t="str">
        <f>IF($F35="","",831500*$F35)</f>
        <v/>
      </c>
      <c r="P35" s="37"/>
      <c r="Q35" s="45"/>
    </row>
    <row r="36" spans="1:18" s="39" customFormat="1">
      <c r="A36" s="134" t="s">
        <v>68</v>
      </c>
      <c r="B36" s="104" t="s">
        <v>48</v>
      </c>
      <c r="C36" s="175"/>
      <c r="D36" s="175"/>
      <c r="E36" s="103"/>
      <c r="F36" s="46"/>
      <c r="G36" s="105" t="s">
        <v>41</v>
      </c>
      <c r="H36" s="98"/>
      <c r="I36" s="98"/>
      <c r="J36" s="99"/>
      <c r="K36" s="100"/>
      <c r="L36" s="42"/>
      <c r="M36" s="40"/>
      <c r="N36" s="40"/>
      <c r="O36" s="40">
        <v>0</v>
      </c>
      <c r="P36" s="40"/>
      <c r="Q36" s="43"/>
      <c r="R36" s="41"/>
    </row>
    <row r="37" spans="1:18" s="182" customFormat="1">
      <c r="A37" s="181">
        <v>3</v>
      </c>
      <c r="B37" s="182" t="s">
        <v>44</v>
      </c>
      <c r="C37" s="181"/>
      <c r="D37" s="181"/>
      <c r="E37" s="181"/>
      <c r="F37" s="198">
        <f>SUM(F35:F36)</f>
        <v>0</v>
      </c>
      <c r="G37" s="202" t="s">
        <v>41</v>
      </c>
      <c r="H37" s="181"/>
      <c r="I37" s="181"/>
      <c r="J37" s="181"/>
      <c r="K37" s="184"/>
      <c r="L37" s="185"/>
      <c r="M37" s="186"/>
      <c r="N37" s="186"/>
      <c r="O37" s="186">
        <f>SUM(O35:O36)</f>
        <v>0</v>
      </c>
      <c r="P37" s="186"/>
      <c r="Q37" s="187"/>
      <c r="R37" s="188"/>
    </row>
    <row r="38" spans="1:18">
      <c r="H38" s="4"/>
      <c r="M38" s="3"/>
      <c r="N38" s="3"/>
      <c r="O38" s="6"/>
    </row>
    <row r="39" spans="1:18" s="10" customFormat="1" ht="21">
      <c r="A39" s="8"/>
      <c r="B39" s="9" t="s">
        <v>49</v>
      </c>
      <c r="C39" s="8"/>
      <c r="F39" s="11"/>
      <c r="G39" s="12"/>
      <c r="H39" s="12"/>
      <c r="I39" s="12"/>
      <c r="J39" s="12"/>
      <c r="K39" s="12"/>
      <c r="L39" s="12"/>
      <c r="M39" s="13"/>
    </row>
    <row r="40" spans="1:18" ht="18.75">
      <c r="A40" s="121">
        <v>1</v>
      </c>
      <c r="B40" s="122" t="s">
        <v>50</v>
      </c>
      <c r="C40" s="123" t="str">
        <f>IF(AND(F33=0,F16&lt;&gt;0)=TRUE,100%,IF(F33=0,"Brak danych",1-F33/F16))</f>
        <v>Brak danych</v>
      </c>
    </row>
    <row r="41" spans="1:18" ht="18.75">
      <c r="A41" s="124">
        <v>2</v>
      </c>
      <c r="B41" s="125" t="s">
        <v>51</v>
      </c>
      <c r="C41" s="126" t="str">
        <f>IF(AND(F37=0,F20&lt;&gt;0)=TRUE,100%,IF(F37=0,"Brak danych",1-F37/F20))</f>
        <v>Brak danych</v>
      </c>
    </row>
    <row r="42" spans="1:18">
      <c r="A42" s="131" t="s">
        <v>57</v>
      </c>
      <c r="B42" s="132" t="s">
        <v>52</v>
      </c>
      <c r="C42" s="131"/>
    </row>
    <row r="43" spans="1:18" ht="18.75">
      <c r="A43" s="127">
        <v>1</v>
      </c>
      <c r="B43" s="128" t="s">
        <v>77</v>
      </c>
      <c r="C43" s="129" t="str">
        <f>IF(AND(L33=0,L16&lt;&gt;0)=TRUE,100%,IF(L33=0,"Brak danych",1-L33/L16))</f>
        <v>Brak danych</v>
      </c>
    </row>
    <row r="44" spans="1:18" ht="18.75">
      <c r="A44" s="127">
        <v>2</v>
      </c>
      <c r="B44" s="128" t="s">
        <v>78</v>
      </c>
      <c r="C44" s="129" t="str">
        <f>IF(AND(M33=0,M16&lt;&gt;0)=TRUE,100%,IF(M33=0,"Brak danych",1-M33/M16))</f>
        <v>Brak danych</v>
      </c>
    </row>
    <row r="45" spans="1:18" ht="18.75">
      <c r="A45" s="127">
        <v>3</v>
      </c>
      <c r="B45" s="128" t="s">
        <v>53</v>
      </c>
      <c r="C45" s="129" t="str">
        <f>IF(AND(N33=0,N16&lt;&gt;0)=TRUE,100%,IF(N33=0,"Brak danych",1-N33/N16))</f>
        <v>Brak danych</v>
      </c>
    </row>
    <row r="46" spans="1:18" ht="18.75">
      <c r="A46" s="127">
        <v>4</v>
      </c>
      <c r="B46" s="128" t="s">
        <v>79</v>
      </c>
      <c r="C46" s="129" t="str">
        <f>IF(AND(O33=0,O16&lt;&gt;0)=TRUE,100%,IF(O33=0,"Brak danych",1-O33/O16))</f>
        <v>Brak danych</v>
      </c>
    </row>
    <row r="47" spans="1:18" ht="18.75">
      <c r="A47" s="127">
        <v>5</v>
      </c>
      <c r="B47" s="128" t="s">
        <v>54</v>
      </c>
      <c r="C47" s="129" t="str">
        <f>IF(AND(P33=0,P16&lt;&gt;0)=TRUE,100%,IF(P33=0,"Brak danych",1-P33/P16))</f>
        <v>Brak danych</v>
      </c>
    </row>
    <row r="48" spans="1:18" ht="18.75">
      <c r="A48" s="124">
        <v>6</v>
      </c>
      <c r="B48" s="130" t="s">
        <v>55</v>
      </c>
      <c r="C48" s="126" t="str">
        <f>IF(AND(Q33=0,Q16&lt;&gt;0)=TRUE,100%,IF(Q33=0,"Brak danych",1-Q33/Q16))</f>
        <v>Brak danych</v>
      </c>
    </row>
    <row r="49" spans="1:13">
      <c r="A49" s="131" t="s">
        <v>58</v>
      </c>
      <c r="B49" s="132" t="s">
        <v>56</v>
      </c>
      <c r="C49" s="133"/>
    </row>
    <row r="50" spans="1:13" ht="18.75">
      <c r="A50" s="124">
        <v>1</v>
      </c>
      <c r="B50" s="130" t="s">
        <v>79</v>
      </c>
      <c r="C50" s="126" t="str">
        <f>IF(AND(O37=0,O20&lt;&gt;0)=TRUE,100%,IF(O37=0,"Brak danych",1-O37/O20))</f>
        <v>Brak danych</v>
      </c>
    </row>
    <row r="51" spans="1:13" ht="18.75">
      <c r="C51" s="120"/>
    </row>
    <row r="52" spans="1:13" ht="18.75">
      <c r="C52" s="120"/>
    </row>
    <row r="53" spans="1:13" ht="18.75">
      <c r="C53" s="120"/>
    </row>
    <row r="54" spans="1:13" ht="18.75">
      <c r="C54" s="120"/>
    </row>
    <row r="55" spans="1:13" ht="18.75">
      <c r="C55" s="120"/>
    </row>
    <row r="56" spans="1:13" ht="18.75">
      <c r="C56" s="120"/>
    </row>
    <row r="57" spans="1:13" ht="18.75">
      <c r="C57" s="120"/>
    </row>
    <row r="58" spans="1:13" ht="18.75">
      <c r="C58" s="120"/>
    </row>
    <row r="59" spans="1:13" ht="18.75">
      <c r="C59" s="120"/>
    </row>
    <row r="60" spans="1:13" ht="18.75">
      <c r="C60" s="120"/>
    </row>
    <row r="61" spans="1:13" s="10" customFormat="1" ht="21">
      <c r="A61" s="8"/>
      <c r="B61" s="9" t="s">
        <v>45</v>
      </c>
      <c r="C61" s="8"/>
      <c r="F61" s="11"/>
      <c r="G61" s="12"/>
      <c r="H61" s="12"/>
      <c r="I61" s="12"/>
      <c r="J61" s="12"/>
      <c r="K61" s="12"/>
      <c r="L61" s="12"/>
      <c r="M61" s="13"/>
    </row>
    <row r="62" spans="1:13" s="1" customFormat="1">
      <c r="A62" s="32"/>
      <c r="B62" s="58" t="s">
        <v>1</v>
      </c>
      <c r="C62" s="59"/>
      <c r="D62" s="58" t="s">
        <v>4</v>
      </c>
      <c r="E62" s="58" t="s">
        <v>2</v>
      </c>
      <c r="F62" s="60" t="s">
        <v>5</v>
      </c>
      <c r="G62" s="61" t="s">
        <v>8</v>
      </c>
      <c r="H62" s="61" t="s">
        <v>7</v>
      </c>
      <c r="I62" s="61" t="s">
        <v>9</v>
      </c>
      <c r="J62" s="61" t="s">
        <v>10</v>
      </c>
      <c r="K62" s="61" t="s">
        <v>11</v>
      </c>
      <c r="L62" s="62" t="s">
        <v>12</v>
      </c>
      <c r="M62" s="6"/>
    </row>
    <row r="63" spans="1:13">
      <c r="A63" s="33" t="str">
        <f t="shared" ref="A63:A83" si="14">CONCATENATE(B63,D63,E63,F63)</f>
        <v>Węgiel kamienny≤ 0,5Ruszt stałyCiąg naturalny</v>
      </c>
      <c r="B63" s="63" t="s">
        <v>0</v>
      </c>
      <c r="C63" s="64" t="s">
        <v>24</v>
      </c>
      <c r="D63" s="63" t="s">
        <v>6</v>
      </c>
      <c r="E63" s="63" t="s">
        <v>3</v>
      </c>
      <c r="F63" s="65" t="s">
        <v>14</v>
      </c>
      <c r="G63" s="66">
        <f>16000</f>
        <v>16000</v>
      </c>
      <c r="H63" s="66">
        <v>2200</v>
      </c>
      <c r="I63" s="66">
        <v>45000</v>
      </c>
      <c r="J63" s="66">
        <v>1850000</v>
      </c>
      <c r="K63" s="66">
        <f>1000</f>
        <v>1000</v>
      </c>
      <c r="L63" s="67">
        <v>14</v>
      </c>
    </row>
    <row r="64" spans="1:13">
      <c r="A64" s="33" t="str">
        <f t="shared" si="14"/>
        <v>Węgiel kamienny&gt; 0,5 ÷ ≤ 5Ruszt stałyCiąg naturalny</v>
      </c>
      <c r="B64" s="63" t="s">
        <v>0</v>
      </c>
      <c r="C64" s="64" t="s">
        <v>24</v>
      </c>
      <c r="D64" s="63" t="s">
        <v>13</v>
      </c>
      <c r="E64" s="63" t="s">
        <v>3</v>
      </c>
      <c r="F64" s="65" t="s">
        <v>14</v>
      </c>
      <c r="G64" s="66">
        <f>16000</f>
        <v>16000</v>
      </c>
      <c r="H64" s="66">
        <v>1000</v>
      </c>
      <c r="I64" s="66">
        <v>45000</v>
      </c>
      <c r="J64" s="66">
        <v>2000000</v>
      </c>
      <c r="K64" s="66">
        <f>1500</f>
        <v>1500</v>
      </c>
      <c r="L64" s="67">
        <v>14</v>
      </c>
    </row>
    <row r="65" spans="1:12">
      <c r="A65" s="33" t="str">
        <f t="shared" si="14"/>
        <v>Węgiel kamienny≤ 0,5Ruszt stałyCiąg sztuczny</v>
      </c>
      <c r="B65" s="63" t="s">
        <v>0</v>
      </c>
      <c r="C65" s="64" t="s">
        <v>24</v>
      </c>
      <c r="D65" s="63" t="s">
        <v>6</v>
      </c>
      <c r="E65" s="63" t="s">
        <v>3</v>
      </c>
      <c r="F65" s="65" t="s">
        <v>15</v>
      </c>
      <c r="G65" s="66">
        <f>16000</f>
        <v>16000</v>
      </c>
      <c r="H65" s="66">
        <v>2000</v>
      </c>
      <c r="I65" s="66">
        <v>70000</v>
      </c>
      <c r="J65" s="66">
        <v>1850000</v>
      </c>
      <c r="K65" s="66">
        <f>1500</f>
        <v>1500</v>
      </c>
      <c r="L65" s="67">
        <v>14</v>
      </c>
    </row>
    <row r="66" spans="1:12">
      <c r="A66" s="33" t="str">
        <f t="shared" si="14"/>
        <v>Węgiel kamienny&gt; 0,5 ÷ ≤ 5Ruszt stałyCiąg sztuczny</v>
      </c>
      <c r="B66" s="63" t="s">
        <v>0</v>
      </c>
      <c r="C66" s="64" t="s">
        <v>24</v>
      </c>
      <c r="D66" s="63" t="s">
        <v>13</v>
      </c>
      <c r="E66" s="63" t="s">
        <v>3</v>
      </c>
      <c r="F66" s="65" t="s">
        <v>15</v>
      </c>
      <c r="G66" s="66">
        <f>16000</f>
        <v>16000</v>
      </c>
      <c r="H66" s="66">
        <v>3000</v>
      </c>
      <c r="I66" s="66">
        <v>20000</v>
      </c>
      <c r="J66" s="66">
        <v>2000000</v>
      </c>
      <c r="K66" s="66">
        <f>1500</f>
        <v>1500</v>
      </c>
      <c r="L66" s="67">
        <v>14</v>
      </c>
    </row>
    <row r="67" spans="1:12">
      <c r="A67" s="33" t="str">
        <f t="shared" si="14"/>
        <v>Węgiel kamienny&gt; 0,5 ÷ ≤ 5Ruszt mechanicznyNie dotyczy</v>
      </c>
      <c r="B67" s="63" t="s">
        <v>0</v>
      </c>
      <c r="C67" s="64" t="s">
        <v>24</v>
      </c>
      <c r="D67" s="63" t="s">
        <v>13</v>
      </c>
      <c r="E67" s="63" t="s">
        <v>31</v>
      </c>
      <c r="F67" s="65" t="s">
        <v>29</v>
      </c>
      <c r="G67" s="66">
        <f>16000</f>
        <v>16000</v>
      </c>
      <c r="H67" s="66">
        <v>3200</v>
      </c>
      <c r="I67" s="66">
        <v>10000</v>
      </c>
      <c r="J67" s="66">
        <v>2130000</v>
      </c>
      <c r="K67" s="66">
        <f>2000</f>
        <v>2000</v>
      </c>
      <c r="L67" s="68">
        <v>3.2</v>
      </c>
    </row>
    <row r="68" spans="1:12">
      <c r="A68" s="33" t="str">
        <f t="shared" si="14"/>
        <v>Koks≤ 0,5Ruszt stałyCiąg naturalny</v>
      </c>
      <c r="B68" s="63" t="s">
        <v>16</v>
      </c>
      <c r="C68" s="64" t="s">
        <v>24</v>
      </c>
      <c r="D68" s="63" t="s">
        <v>6</v>
      </c>
      <c r="E68" s="63" t="s">
        <v>3</v>
      </c>
      <c r="F68" s="65" t="s">
        <v>14</v>
      </c>
      <c r="G68" s="66">
        <f>16000</f>
        <v>16000</v>
      </c>
      <c r="H68" s="66">
        <v>500</v>
      </c>
      <c r="I68" s="66">
        <v>25000</v>
      </c>
      <c r="J68" s="66">
        <v>2360000</v>
      </c>
      <c r="K68" s="66">
        <f>1000</f>
        <v>1000</v>
      </c>
      <c r="L68" s="68">
        <v>0.1</v>
      </c>
    </row>
    <row r="69" spans="1:12">
      <c r="A69" s="33" t="str">
        <f t="shared" si="14"/>
        <v>Koks≤ 0,5Ruszt stałyCiąg sztuczny</v>
      </c>
      <c r="B69" s="63" t="s">
        <v>16</v>
      </c>
      <c r="C69" s="64" t="s">
        <v>24</v>
      </c>
      <c r="D69" s="63" t="s">
        <v>6</v>
      </c>
      <c r="E69" s="63" t="s">
        <v>3</v>
      </c>
      <c r="F69" s="65" t="s">
        <v>15</v>
      </c>
      <c r="G69" s="66">
        <f>16000</f>
        <v>16000</v>
      </c>
      <c r="H69" s="66">
        <v>1000</v>
      </c>
      <c r="I69" s="66">
        <v>25000</v>
      </c>
      <c r="J69" s="66">
        <v>2360000</v>
      </c>
      <c r="K69" s="66">
        <f>1500</f>
        <v>1500</v>
      </c>
      <c r="L69" s="68">
        <v>0.1</v>
      </c>
    </row>
    <row r="70" spans="1:12">
      <c r="A70" s="33" t="str">
        <f t="shared" si="14"/>
        <v>Koks&gt; 0,5 ÷ ≤ 5Ruszt stałyCiąg naturalny</v>
      </c>
      <c r="B70" s="63" t="s">
        <v>16</v>
      </c>
      <c r="C70" s="64" t="s">
        <v>24</v>
      </c>
      <c r="D70" s="63" t="s">
        <v>13</v>
      </c>
      <c r="E70" s="63" t="s">
        <v>3</v>
      </c>
      <c r="F70" s="65" t="s">
        <v>14</v>
      </c>
      <c r="G70" s="66">
        <f>16000</f>
        <v>16000</v>
      </c>
      <c r="H70" s="66">
        <v>500</v>
      </c>
      <c r="I70" s="66">
        <v>20000</v>
      </c>
      <c r="J70" s="66">
        <v>2360000</v>
      </c>
      <c r="K70" s="66">
        <f>1000</f>
        <v>1000</v>
      </c>
      <c r="L70" s="69">
        <v>2.7E-2</v>
      </c>
    </row>
    <row r="71" spans="1:12">
      <c r="A71" s="33" t="str">
        <f t="shared" si="14"/>
        <v>Koks&gt; 0,5 ÷ ≤ 5Ruszt stałyCiąg sztuczny</v>
      </c>
      <c r="B71" s="63" t="s">
        <v>16</v>
      </c>
      <c r="C71" s="64" t="s">
        <v>24</v>
      </c>
      <c r="D71" s="63" t="s">
        <v>13</v>
      </c>
      <c r="E71" s="63" t="s">
        <v>3</v>
      </c>
      <c r="F71" s="65" t="s">
        <v>15</v>
      </c>
      <c r="G71" s="66">
        <f>16000</f>
        <v>16000</v>
      </c>
      <c r="H71" s="66">
        <v>1000</v>
      </c>
      <c r="I71" s="66">
        <v>20000</v>
      </c>
      <c r="J71" s="66">
        <v>2360000</v>
      </c>
      <c r="K71" s="66">
        <f>1500</f>
        <v>1500</v>
      </c>
      <c r="L71" s="69">
        <v>2.7E-2</v>
      </c>
    </row>
    <row r="72" spans="1:12">
      <c r="A72" s="33" t="str">
        <f t="shared" si="14"/>
        <v>Drewno≤ 1,0Ruszt stały</v>
      </c>
      <c r="B72" s="63" t="s">
        <v>17</v>
      </c>
      <c r="C72" s="64" t="s">
        <v>24</v>
      </c>
      <c r="D72" s="63" t="s">
        <v>18</v>
      </c>
      <c r="E72" s="63" t="s">
        <v>3</v>
      </c>
      <c r="F72" s="65"/>
      <c r="G72" s="66">
        <v>110</v>
      </c>
      <c r="H72" s="66">
        <v>1000</v>
      </c>
      <c r="I72" s="66">
        <v>26000</v>
      </c>
      <c r="J72" s="66">
        <v>1200000</v>
      </c>
      <c r="K72" s="66">
        <f>1500</f>
        <v>1500</v>
      </c>
      <c r="L72" s="67">
        <v>0</v>
      </c>
    </row>
    <row r="73" spans="1:12">
      <c r="A73" s="33" t="str">
        <f t="shared" si="14"/>
        <v>Drewno&gt; 1,0 ÷ ≤ 5Ruszt stały</v>
      </c>
      <c r="B73" s="63" t="s">
        <v>17</v>
      </c>
      <c r="C73" s="64" t="s">
        <v>24</v>
      </c>
      <c r="D73" s="63" t="s">
        <v>19</v>
      </c>
      <c r="E73" s="63" t="s">
        <v>3</v>
      </c>
      <c r="F73" s="65"/>
      <c r="G73" s="66">
        <v>110</v>
      </c>
      <c r="H73" s="66">
        <v>950</v>
      </c>
      <c r="I73" s="66">
        <v>16000</v>
      </c>
      <c r="J73" s="66">
        <v>1200000</v>
      </c>
      <c r="K73" s="66">
        <f>1500</f>
        <v>1500</v>
      </c>
      <c r="L73" s="67">
        <v>0</v>
      </c>
    </row>
    <row r="74" spans="1:12">
      <c r="A74" s="33" t="str">
        <f t="shared" si="14"/>
        <v>Drewno≤ 5Ruszt mechaniczny</v>
      </c>
      <c r="B74" s="63" t="s">
        <v>17</v>
      </c>
      <c r="C74" s="64" t="s">
        <v>24</v>
      </c>
      <c r="D74" s="63" t="s">
        <v>20</v>
      </c>
      <c r="E74" s="63" t="s">
        <v>31</v>
      </c>
      <c r="F74" s="65"/>
      <c r="G74" s="66">
        <v>20</v>
      </c>
      <c r="H74" s="66">
        <v>800</v>
      </c>
      <c r="I74" s="66">
        <v>11000</v>
      </c>
      <c r="J74" s="66">
        <v>1330000</v>
      </c>
      <c r="K74" s="66">
        <f>2500</f>
        <v>2500</v>
      </c>
      <c r="L74" s="67">
        <v>0</v>
      </c>
    </row>
    <row r="75" spans="1:12">
      <c r="A75" s="33" t="str">
        <f t="shared" si="14"/>
        <v>Lekki olej opałowy≤ 0,5</v>
      </c>
      <c r="B75" s="63" t="s">
        <v>21</v>
      </c>
      <c r="C75" s="64" t="s">
        <v>24</v>
      </c>
      <c r="D75" s="63" t="s">
        <v>6</v>
      </c>
      <c r="E75" s="63"/>
      <c r="F75" s="65"/>
      <c r="G75" s="66">
        <f>20359.2</f>
        <v>20359.2</v>
      </c>
      <c r="H75" s="70">
        <v>2395.1999999999998</v>
      </c>
      <c r="I75" s="66">
        <v>682.63199999999995</v>
      </c>
      <c r="J75" s="66">
        <v>3233520</v>
      </c>
      <c r="K75" s="66">
        <v>407.18400000000003</v>
      </c>
      <c r="L75" s="71">
        <v>0.31137599999999999</v>
      </c>
    </row>
    <row r="76" spans="1:12">
      <c r="A76" s="33" t="str">
        <f t="shared" si="14"/>
        <v>Lekki olej opałowy&gt; 0,5 ÷ ≤ 5</v>
      </c>
      <c r="B76" s="63" t="s">
        <v>21</v>
      </c>
      <c r="C76" s="64" t="s">
        <v>24</v>
      </c>
      <c r="D76" s="63" t="s">
        <v>13</v>
      </c>
      <c r="E76" s="63"/>
      <c r="F76" s="65"/>
      <c r="G76" s="66">
        <f>20359.2</f>
        <v>20359.2</v>
      </c>
      <c r="H76" s="70">
        <v>2395.1999999999998</v>
      </c>
      <c r="I76" s="66">
        <v>598.79999999999995</v>
      </c>
      <c r="J76" s="66">
        <v>3233520</v>
      </c>
      <c r="K76" s="66">
        <v>407.18400000000003</v>
      </c>
      <c r="L76" s="71">
        <v>2.8742399999999999</v>
      </c>
    </row>
    <row r="77" spans="1:12">
      <c r="A77" s="33" t="str">
        <f t="shared" si="14"/>
        <v>Ciężki olej opałowy≤ 0,5</v>
      </c>
      <c r="B77" s="63" t="s">
        <v>22</v>
      </c>
      <c r="C77" s="64" t="s">
        <v>24</v>
      </c>
      <c r="D77" s="63" t="s">
        <v>6</v>
      </c>
      <c r="E77" s="63"/>
      <c r="F77" s="65"/>
      <c r="G77" s="66">
        <f>21666.45</f>
        <v>21666.45</v>
      </c>
      <c r="H77" s="70">
        <v>8888.7999999999993</v>
      </c>
      <c r="I77" s="66">
        <v>1555.54</v>
      </c>
      <c r="J77" s="66">
        <v>3333300</v>
      </c>
      <c r="K77" s="66">
        <v>2222.1999999999998</v>
      </c>
      <c r="L77" s="71">
        <v>0.28888599999999998</v>
      </c>
    </row>
    <row r="78" spans="1:12">
      <c r="A78" s="33" t="str">
        <f t="shared" si="14"/>
        <v>Ciężki olej opałowy&gt; 0,5 ÷ ≤ 5</v>
      </c>
      <c r="B78" s="63" t="s">
        <v>22</v>
      </c>
      <c r="C78" s="64" t="s">
        <v>24</v>
      </c>
      <c r="D78" s="63" t="s">
        <v>13</v>
      </c>
      <c r="E78" s="63"/>
      <c r="F78" s="65"/>
      <c r="G78" s="66">
        <f>21666.45</f>
        <v>21666.45</v>
      </c>
      <c r="H78" s="70">
        <v>8888.7999999999993</v>
      </c>
      <c r="I78" s="66">
        <v>1555.54</v>
      </c>
      <c r="J78" s="66">
        <v>3333300</v>
      </c>
      <c r="K78" s="66">
        <v>2222.1999999999998</v>
      </c>
      <c r="L78" s="71">
        <v>2.6666400000000001</v>
      </c>
    </row>
    <row r="79" spans="1:12">
      <c r="A79" s="33" t="str">
        <f t="shared" si="14"/>
        <v>Olej napędowy≤ 5</v>
      </c>
      <c r="B79" s="63" t="s">
        <v>23</v>
      </c>
      <c r="C79" s="64" t="s">
        <v>24</v>
      </c>
      <c r="D79" s="63" t="s">
        <v>20</v>
      </c>
      <c r="E79" s="63"/>
      <c r="F79" s="65"/>
      <c r="G79" s="66">
        <f>22822.82</f>
        <v>22822.82</v>
      </c>
      <c r="H79" s="66">
        <v>6006</v>
      </c>
      <c r="I79" s="66">
        <v>480.48</v>
      </c>
      <c r="J79" s="66">
        <v>1981981.9820000001</v>
      </c>
      <c r="K79" s="66">
        <v>1201.2</v>
      </c>
      <c r="L79" s="67">
        <v>0</v>
      </c>
    </row>
    <row r="80" spans="1:12">
      <c r="A80" s="33" t="str">
        <f t="shared" si="14"/>
        <v>Gaz płynny propan≤ 5</v>
      </c>
      <c r="B80" s="63" t="s">
        <v>27</v>
      </c>
      <c r="C80" s="64" t="s">
        <v>24</v>
      </c>
      <c r="D80" s="63" t="s">
        <v>20</v>
      </c>
      <c r="E80" s="63"/>
      <c r="F80" s="65"/>
      <c r="G80" s="66">
        <v>47.3</v>
      </c>
      <c r="H80" s="66">
        <v>2838</v>
      </c>
      <c r="I80" s="66">
        <v>1892</v>
      </c>
      <c r="J80" s="66">
        <v>3027200</v>
      </c>
      <c r="K80" s="70">
        <v>23.65</v>
      </c>
      <c r="L80" s="67">
        <v>0</v>
      </c>
    </row>
    <row r="81" spans="1:12">
      <c r="A81" s="33" t="str">
        <f t="shared" si="14"/>
        <v>Gaz płynny propan-butan (LPG)≤ 5</v>
      </c>
      <c r="B81" s="63" t="s">
        <v>28</v>
      </c>
      <c r="C81" s="64" t="s">
        <v>24</v>
      </c>
      <c r="D81" s="63" t="s">
        <v>20</v>
      </c>
      <c r="E81" s="63"/>
      <c r="F81" s="65"/>
      <c r="G81" s="72">
        <v>13.716999999999999</v>
      </c>
      <c r="H81" s="66">
        <v>1844.6999999999998</v>
      </c>
      <c r="I81" s="66">
        <v>756.8</v>
      </c>
      <c r="J81" s="66">
        <v>2984630</v>
      </c>
      <c r="K81" s="70">
        <v>146.63</v>
      </c>
      <c r="L81" s="67">
        <v>0</v>
      </c>
    </row>
    <row r="82" spans="1:12">
      <c r="A82" s="33" t="str">
        <f t="shared" si="14"/>
        <v>Gaz ziemny≤ 0,5</v>
      </c>
      <c r="B82" s="63" t="s">
        <v>26</v>
      </c>
      <c r="C82" s="64" t="s">
        <v>25</v>
      </c>
      <c r="D82" s="63" t="s">
        <v>6</v>
      </c>
      <c r="E82" s="63"/>
      <c r="F82" s="65"/>
      <c r="G82" s="73">
        <f>0.002</f>
        <v>2E-3</v>
      </c>
      <c r="H82" s="72">
        <v>1.52</v>
      </c>
      <c r="I82" s="72">
        <v>1.75</v>
      </c>
      <c r="J82" s="66">
        <v>2000</v>
      </c>
      <c r="K82" s="74">
        <v>5.0000000000000001E-4</v>
      </c>
      <c r="L82" s="67">
        <v>0</v>
      </c>
    </row>
    <row r="83" spans="1:12">
      <c r="A83" s="34" t="str">
        <f t="shared" si="14"/>
        <v>Gaz ziemny&gt; 0,5 ÷ ≤ 5</v>
      </c>
      <c r="B83" s="75" t="s">
        <v>26</v>
      </c>
      <c r="C83" s="76" t="s">
        <v>25</v>
      </c>
      <c r="D83" s="75" t="s">
        <v>13</v>
      </c>
      <c r="E83" s="75"/>
      <c r="F83" s="77"/>
      <c r="G83" s="78">
        <f>0.002</f>
        <v>2E-3</v>
      </c>
      <c r="H83" s="79">
        <v>0.3</v>
      </c>
      <c r="I83" s="79">
        <v>0.24</v>
      </c>
      <c r="J83" s="80">
        <v>2000</v>
      </c>
      <c r="K83" s="81">
        <v>5.0000000000000001E-4</v>
      </c>
      <c r="L83" s="82">
        <v>0</v>
      </c>
    </row>
    <row r="84" spans="1:12" s="142" customFormat="1" ht="12.75">
      <c r="C84" s="143"/>
      <c r="F84" s="144"/>
      <c r="G84" s="145"/>
      <c r="H84" s="145"/>
      <c r="I84" s="145"/>
      <c r="J84" s="145"/>
      <c r="K84" s="145"/>
      <c r="L84" s="145"/>
    </row>
  </sheetData>
  <mergeCells count="2">
    <mergeCell ref="D3:E3"/>
    <mergeCell ref="F3:G3"/>
  </mergeCells>
  <dataValidations count="17">
    <dataValidation type="decimal" allowBlank="1" showInputMessage="1" showErrorMessage="1" promptTitle="Wartości od 0 do 5 MW" prompt="Proszę wprowadzić wartości od 0 do 5 MW" sqref="C24:C32 C7:C14">
      <formula1>0</formula1>
      <formula2>5</formula2>
    </dataValidation>
    <dataValidation type="decimal" operator="greaterThanOrEqual" allowBlank="1" showInputMessage="1" showErrorMessage="1" promptTitle="Zużyte paliwo w ciągu roku" prompt="Proszę wprowadzić w Mg (tonach) wartość zużytego paliwa w ciągu ostatniego roku przed złożeniem wniosku o dofinansowanie" sqref="D23:D30 D6:D13">
      <formula1>0</formula1>
    </dataValidation>
    <dataValidation type="list" allowBlank="1" showInputMessage="1" showErrorMessage="1" sqref="J6 J8 J23 J25">
      <formula1>"Ruszt stały,Ruszt mechaniczny"</formula1>
    </dataValidation>
    <dataValidation type="list" allowBlank="1" showInputMessage="1" showErrorMessage="1" sqref="K6 K23">
      <formula1>"Ciąg naturalny,Ciąg sztuczny,Nie dotyczy"</formula1>
    </dataValidation>
    <dataValidation type="list" allowBlank="1" showInputMessage="1" showErrorMessage="1" sqref="K7 K24">
      <formula1>"Ciąg naturalny,Ciąg sztuczny"</formula1>
    </dataValidation>
    <dataValidation type="decimal" allowBlank="1" showInputMessage="1" showErrorMessage="1" promptTitle="Wartości od 0 do 5 MW" prompt="Proszę wprowadzić wartości od 0 do 5 MW, a dla rusztu mechanicznego od 0,5 MW do 5 MW" sqref="C6 C23">
      <formula1>0</formula1>
      <formula2>5</formula2>
    </dataValidation>
    <dataValidation type="decimal" operator="greaterThanOrEqual" allowBlank="1" showInputMessage="1" showErrorMessage="1" promptTitle="Zużyte paliwo w ciągu roku" prompt="Proszę wprowadzić w m3 wartość zużytego paliwa w ciągu ostatniego roku przed złożeniem wniosku o dofinansowanie" sqref="D31 D14">
      <formula1>0</formula1>
    </dataValidation>
    <dataValidation type="decimal" allowBlank="1" showInputMessage="1" showErrorMessage="1" promptTitle="Zawartość popiołu" prompt="Proszę wprowadzić wartości od 0% do 100%" sqref="H23:H25">
      <formula1>0</formula1>
      <formula2>1</formula2>
    </dataValidation>
    <dataValidation type="decimal" allowBlank="1" showInputMessage="1" showErrorMessage="1" promptTitle="Zawartość siarki całkowitej" prompt="Proszę wprowadzić wartości od 0% do 100%" sqref="I14 I9:I11 I31 I23:I24 I26:I28">
      <formula1>0</formula1>
      <formula2>1</formula2>
    </dataValidation>
    <dataValidation type="list" allowBlank="1" showInputMessage="1" showErrorMessage="1" prompt="Proszę zaznaczyć TAK, jeżeli istnieje kocioł, który będzie podlegał modernizacji, rozbudowie itp. lub pobierana jest energia z KSE. Proszę zaznaczyć NIE, jeżeli dopiero po projekcie planuje się rozpoczęcie produkcji energii." sqref="C4">
      <formula1>"Tak,Nie"</formula1>
    </dataValidation>
    <dataValidation type="decimal" allowBlank="1" showInputMessage="1" showErrorMessage="1" promptTitle="Zawartość popiołu" prompt="Proszę wprowadzić wartości od 0% do 100%. Np. w przypadku węgla kamiennego, energetycznego, typ 31-33, zawartość popiołu waha się w granicach 3-7%." sqref="H6">
      <formula1>0</formula1>
      <formula2>1</formula2>
    </dataValidation>
    <dataValidation type="decimal" allowBlank="1" showInputMessage="1" showErrorMessage="1" promptTitle="Zawartość siarki całkowitej" prompt="Proszę wprowadzić wartości od 0% do 100%. Np. w przypadku węgla kamiennego, energetycznego, typ 31-33, zawartość siarki waha się w granicach 0,2-0,6%." sqref="I6">
      <formula1>0</formula1>
      <formula2>1</formula2>
    </dataValidation>
    <dataValidation type="decimal" allowBlank="1" showInputMessage="1" showErrorMessage="1" promptTitle="Zawartość popiołu" prompt="Proszę wprowadzić wartości od 0% do 100%. Np. w przypadku koksu dla przemysłu energetycznego zawartość popiołu wynosi max. 11%." sqref="H7">
      <formula1>0</formula1>
      <formula2>1</formula2>
    </dataValidation>
    <dataValidation type="decimal" allowBlank="1" showInputMessage="1" showErrorMessage="1" promptTitle="Zawartość siarki całkowitej" prompt="Proszę wprowadzić wartości od 0% do 100%. Np. w przypadku koksu dla przemysłu energetycznego zawartość siarki całkowitej wynosi max. 0,6%." sqref="I7">
      <formula1>0</formula1>
      <formula2>1</formula2>
    </dataValidation>
    <dataValidation type="decimal" allowBlank="1" showInputMessage="1" showErrorMessage="1" promptTitle="Zawartość popiołu" prompt="Proszę wprowadzić wartości od 0% do 100%. Typowe drewno opałowe zawiera około 1–2% popiołu na suchą masę." sqref="H8">
      <formula1>0</formula1>
      <formula2>1</formula2>
    </dataValidation>
    <dataValidation allowBlank="1" showInputMessage="1" showErrorMessage="1" prompt="Proszę nie wypełniać, wartości wypełniają się same" sqref="C15:K15 C19:K19"/>
    <dataValidation type="decimal" operator="greaterThanOrEqual" allowBlank="1" showInputMessage="1" showErrorMessage="1" prompt="Proszę wprowadzić wartości ciepła [GJ/rok] do uzyskania w ciągu roku ze źródeł odnawialnych" sqref="F32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Instrukcja</vt:lpstr>
      <vt:lpstr>Analiza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Korneliusz Pylak</dc:creator>
  <cp:lastModifiedBy>Magdalena Rynkun</cp:lastModifiedBy>
  <dcterms:created xsi:type="dcterms:W3CDTF">2016-03-23T22:39:59Z</dcterms:created>
  <dcterms:modified xsi:type="dcterms:W3CDTF">2016-03-25T12:21:13Z</dcterms:modified>
</cp:coreProperties>
</file>